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17024832-E9EC-4797-B33E-417DE45DBE5A}" xr6:coauthVersionLast="47" xr6:coauthVersionMax="47" xr10:uidLastSave="{00000000-0000-0000-0000-000000000000}"/>
  <bookViews>
    <workbookView xWindow="-120" yWindow="-120" windowWidth="29040" windowHeight="17520" tabRatio="749" firstSheet="17" activeTab="1" xr2:uid="{00000000-000D-0000-FFFF-FFFF00000000}"/>
  </bookViews>
  <sheets>
    <sheet name="उपस्थिती" sheetId="28" state="hidden" r:id="rId1"/>
    <sheet name="Cover page" sheetId="4" r:id="rId2"/>
    <sheet name="निर्णयहरु" sheetId="36" r:id="rId3"/>
    <sheet name="Index " sheetId="5" state="hidden" r:id="rId4"/>
    <sheet name="Jyala Dar Final" sheetId="6" r:id="rId5"/>
    <sheet name="Dhuwani_Machine_Upakaran Final" sheetId="7" r:id="rId6"/>
    <sheet name="Bhawan" sheetId="8" r:id="rId7"/>
    <sheet name="Falamjanya" sheetId="9" r:id="rId8"/>
    <sheet name="Sadak" sheetId="10" r:id="rId9"/>
    <sheet name="Rang rogan" sheetId="11" r:id="rId10"/>
    <sheet name="Khanepani" sheetId="12" r:id="rId11"/>
    <sheet name="HDPE" sheetId="44" r:id="rId12"/>
    <sheet name="uPVC" sheetId="14" r:id="rId13"/>
    <sheet name="cpvc" sheetId="35" r:id="rId14"/>
    <sheet name="PPR fittings" sheetId="40" r:id="rId15"/>
    <sheet name="uPVC Fittings" sheetId="41" r:id="rId16"/>
    <sheet name="Khanepani fittings" sheetId="42" r:id="rId17"/>
    <sheet name="Wat,Sant_3" sheetId="37" r:id="rId18"/>
    <sheet name="Well tubewall" sheetId="43" r:id="rId19"/>
    <sheet name="Haate Aujar haru" sheetId="19" r:id="rId20"/>
    <sheet name="Vidut" sheetId="20" r:id="rId21"/>
    <sheet name="Micro hydro" sheetId="21" r:id="rId22"/>
    <sheet name="Vividh" sheetId="22" r:id="rId23"/>
    <sheet name="Official" sheetId="23" r:id="rId24"/>
    <sheet name="Equipment tools rate" sheetId="24" r:id="rId25"/>
    <sheet name="Glass Fiber" sheetId="25" r:id="rId26"/>
    <sheet name="Solar" sheetId="27" r:id="rId27"/>
    <sheet name="concrete Ns " sheetId="34" r:id="rId28"/>
    <sheet name="Sinchai Gate" sheetId="31" r:id="rId29"/>
    <sheet name="Sheet1" sheetId="38" r:id="rId30"/>
    <sheet name="yantric rate" sheetId="26" state="hidden" r:id="rId31"/>
    <sheet name="HDP pipe" sheetId="13" state="hidden"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z">#N/A</definedName>
    <definedName name="_" localSheetId="11" hidden="1">[1]PipeDesign!$D$25:$D$26</definedName>
    <definedName name="_" hidden="1">#REF!</definedName>
    <definedName name="__" hidden="1">#REF!</definedName>
    <definedName name="___" hidden="1">#REF!</definedName>
    <definedName name="____abs45">#REF!</definedName>
    <definedName name="____abs60">#REF!</definedName>
    <definedName name="____abs90">#REF!</definedName>
    <definedName name="____est45">#REF!</definedName>
    <definedName name="____est60">#REF!</definedName>
    <definedName name="____est90">#REF!</definedName>
    <definedName name="___abs45">#REF!</definedName>
    <definedName name="___abs60">#REF!</definedName>
    <definedName name="___abs90">#REF!</definedName>
    <definedName name="___cgi24">'[2]update Rate'!$E$86</definedName>
    <definedName name="___cgi26">'[2]update Rate'!$E$87</definedName>
    <definedName name="___est45">#REF!</definedName>
    <definedName name="___est60">#REF!</definedName>
    <definedName name="___est90">#REF!</definedName>
    <definedName name="___FRT1" localSheetId="27" hidden="1">#REF!</definedName>
    <definedName name="___FRT1" localSheetId="13" hidden="1">#REF!</definedName>
    <definedName name="___FRT1" localSheetId="7" hidden="1">#REF!</definedName>
    <definedName name="___FRT1" localSheetId="25" hidden="1">#REF!</definedName>
    <definedName name="___FRT1" localSheetId="19" hidden="1">#REF!</definedName>
    <definedName name="___FRT1" localSheetId="3" hidden="1">#REF!</definedName>
    <definedName name="___FRT1" localSheetId="10" hidden="1">#REF!</definedName>
    <definedName name="___FRT1" localSheetId="16" hidden="1">#REF!</definedName>
    <definedName name="___FRT1" localSheetId="21" hidden="1">#REF!</definedName>
    <definedName name="___FRT1" localSheetId="14" hidden="1">#REF!</definedName>
    <definedName name="___FRT1" localSheetId="9" hidden="1">#REF!</definedName>
    <definedName name="___FRT1" localSheetId="8" hidden="1">#REF!</definedName>
    <definedName name="___FRT1" localSheetId="12" hidden="1">#REF!</definedName>
    <definedName name="___FRT1" localSheetId="15" hidden="1">#REF!</definedName>
    <definedName name="___FRT1" localSheetId="20" hidden="1">#REF!</definedName>
    <definedName name="___FRT1" localSheetId="22" hidden="1">#REF!</definedName>
    <definedName name="___FRT1" localSheetId="18" hidden="1">#REF!</definedName>
    <definedName name="___FRT1" localSheetId="30" hidden="1">#REF!</definedName>
    <definedName name="___FRT1" hidden="1">#REF!</definedName>
    <definedName name="___FRT5" localSheetId="27" hidden="1">#REF!</definedName>
    <definedName name="___FRT5" localSheetId="13" hidden="1">#REF!</definedName>
    <definedName name="___FRT5" localSheetId="7" hidden="1">#REF!</definedName>
    <definedName name="___FRT5" localSheetId="25" hidden="1">#REF!</definedName>
    <definedName name="___FRT5" localSheetId="19" hidden="1">#REF!</definedName>
    <definedName name="___FRT5" localSheetId="3" hidden="1">#REF!</definedName>
    <definedName name="___FRT5" localSheetId="10" hidden="1">#REF!</definedName>
    <definedName name="___FRT5" localSheetId="16" hidden="1">#REF!</definedName>
    <definedName name="___FRT5" localSheetId="21" hidden="1">#REF!</definedName>
    <definedName name="___FRT5" localSheetId="14" hidden="1">#REF!</definedName>
    <definedName name="___FRT5" localSheetId="9" hidden="1">#REF!</definedName>
    <definedName name="___FRT5" localSheetId="8" hidden="1">#REF!</definedName>
    <definedName name="___FRT5" localSheetId="12" hidden="1">#REF!</definedName>
    <definedName name="___FRT5" localSheetId="15" hidden="1">#REF!</definedName>
    <definedName name="___FRT5" localSheetId="20" hidden="1">#REF!</definedName>
    <definedName name="___FRT5" localSheetId="22" hidden="1">#REF!</definedName>
    <definedName name="___FRT5" localSheetId="18" hidden="1">#REF!</definedName>
    <definedName name="___FRT5" localSheetId="30" hidden="1">#REF!</definedName>
    <definedName name="___FRT5" hidden="1">#REF!</definedName>
    <definedName name="___mh60" localSheetId="11" hidden="1">[3]DRates!$K$41</definedName>
    <definedName name="___mh60" hidden="1">#REF!</definedName>
    <definedName name="__abs45">#REF!</definedName>
    <definedName name="__abs60">#REF!</definedName>
    <definedName name="__abs90">#REF!</definedName>
    <definedName name="__est45">#REF!</definedName>
    <definedName name="__est60">#REF!</definedName>
    <definedName name="__est90">#REF!</definedName>
    <definedName name="__FRT1" localSheetId="27" hidden="1">#REF!</definedName>
    <definedName name="__FRT1" localSheetId="13" hidden="1">#REF!</definedName>
    <definedName name="__FRT1" localSheetId="7" hidden="1">#REF!</definedName>
    <definedName name="__FRT1" localSheetId="25" hidden="1">#REF!</definedName>
    <definedName name="__FRT1" localSheetId="19" hidden="1">#REF!</definedName>
    <definedName name="__FRT1" localSheetId="3" hidden="1">#REF!</definedName>
    <definedName name="__FRT1" localSheetId="10" hidden="1">#REF!</definedName>
    <definedName name="__FRT1" localSheetId="16" hidden="1">#REF!</definedName>
    <definedName name="__FRT1" localSheetId="21" hidden="1">#REF!</definedName>
    <definedName name="__FRT1" localSheetId="14" hidden="1">#REF!</definedName>
    <definedName name="__FRT1" localSheetId="9" hidden="1">#REF!</definedName>
    <definedName name="__FRT1" localSheetId="8" hidden="1">#REF!</definedName>
    <definedName name="__FRT1" localSheetId="12" hidden="1">#REF!</definedName>
    <definedName name="__FRT1" localSheetId="15" hidden="1">#REF!</definedName>
    <definedName name="__FRT1" localSheetId="20" hidden="1">#REF!</definedName>
    <definedName name="__FRT1" localSheetId="22" hidden="1">#REF!</definedName>
    <definedName name="__FRT1" localSheetId="18" hidden="1">#REF!</definedName>
    <definedName name="__FRT1" localSheetId="30" hidden="1">#REF!</definedName>
    <definedName name="__FRT1" hidden="1">#REF!</definedName>
    <definedName name="__FRT5" localSheetId="27" hidden="1">#REF!</definedName>
    <definedName name="__FRT5" localSheetId="13" hidden="1">#REF!</definedName>
    <definedName name="__FRT5" localSheetId="7" hidden="1">#REF!</definedName>
    <definedName name="__FRT5" localSheetId="25" hidden="1">#REF!</definedName>
    <definedName name="__FRT5" localSheetId="19" hidden="1">#REF!</definedName>
    <definedName name="__FRT5" localSheetId="3" hidden="1">#REF!</definedName>
    <definedName name="__FRT5" localSheetId="10" hidden="1">#REF!</definedName>
    <definedName name="__FRT5" localSheetId="16" hidden="1">#REF!</definedName>
    <definedName name="__FRT5" localSheetId="21" hidden="1">#REF!</definedName>
    <definedName name="__FRT5" localSheetId="14" hidden="1">#REF!</definedName>
    <definedName name="__FRT5" localSheetId="9" hidden="1">#REF!</definedName>
    <definedName name="__FRT5" localSheetId="8" hidden="1">#REF!</definedName>
    <definedName name="__FRT5" localSheetId="12" hidden="1">#REF!</definedName>
    <definedName name="__FRT5" localSheetId="15" hidden="1">#REF!</definedName>
    <definedName name="__FRT5" localSheetId="20" hidden="1">#REF!</definedName>
    <definedName name="__FRT5" localSheetId="22" hidden="1">#REF!</definedName>
    <definedName name="__FRT5" localSheetId="18" hidden="1">#REF!</definedName>
    <definedName name="__FRT5" localSheetId="30" hidden="1">#REF!</definedName>
    <definedName name="__FRT5" hidden="1">#REF!</definedName>
    <definedName name="__mh60" localSheetId="11" hidden="1">[3]DRates!$K$41</definedName>
    <definedName name="__mh60" hidden="1">#REF!</definedName>
    <definedName name="_abs45" localSheetId="27">#REF!</definedName>
    <definedName name="_abs45" localSheetId="13">#REF!</definedName>
    <definedName name="_abs45" localSheetId="7">#REF!</definedName>
    <definedName name="_abs45" localSheetId="25">#REF!</definedName>
    <definedName name="_abs45" localSheetId="19">#REF!</definedName>
    <definedName name="_abs45" localSheetId="3">#REF!</definedName>
    <definedName name="_abs45" localSheetId="10">#REF!</definedName>
    <definedName name="_abs45" localSheetId="16">#REF!</definedName>
    <definedName name="_abs45" localSheetId="21">#REF!</definedName>
    <definedName name="_abs45" localSheetId="14">#REF!</definedName>
    <definedName name="_abs45" localSheetId="9">#REF!</definedName>
    <definedName name="_abs45" localSheetId="8">#REF!</definedName>
    <definedName name="_abs45" localSheetId="12">#REF!</definedName>
    <definedName name="_abs45" localSheetId="15">#REF!</definedName>
    <definedName name="_abs45" localSheetId="20">#REF!</definedName>
    <definedName name="_abs45" localSheetId="22">#REF!</definedName>
    <definedName name="_abs45" localSheetId="18">#REF!</definedName>
    <definedName name="_abs45" localSheetId="30">#REF!</definedName>
    <definedName name="_abs45">#REF!</definedName>
    <definedName name="_abs60" localSheetId="27">#REF!</definedName>
    <definedName name="_abs60" localSheetId="13">#REF!</definedName>
    <definedName name="_abs60" localSheetId="7">#REF!</definedName>
    <definedName name="_abs60" localSheetId="25">#REF!</definedName>
    <definedName name="_abs60" localSheetId="19">#REF!</definedName>
    <definedName name="_abs60" localSheetId="3">#REF!</definedName>
    <definedName name="_abs60" localSheetId="10">#REF!</definedName>
    <definedName name="_abs60" localSheetId="16">#REF!</definedName>
    <definedName name="_abs60" localSheetId="21">#REF!</definedName>
    <definedName name="_abs60" localSheetId="14">#REF!</definedName>
    <definedName name="_abs60" localSheetId="9">#REF!</definedName>
    <definedName name="_abs60" localSheetId="8">#REF!</definedName>
    <definedName name="_abs60" localSheetId="12">#REF!</definedName>
    <definedName name="_abs60" localSheetId="15">#REF!</definedName>
    <definedName name="_abs60" localSheetId="20">#REF!</definedName>
    <definedName name="_abs60" localSheetId="22">#REF!</definedName>
    <definedName name="_abs60" localSheetId="18">#REF!</definedName>
    <definedName name="_abs60" localSheetId="30">#REF!</definedName>
    <definedName name="_abs60">#REF!</definedName>
    <definedName name="_abs90" localSheetId="27">#REF!</definedName>
    <definedName name="_abs90" localSheetId="13">#REF!</definedName>
    <definedName name="_abs90" localSheetId="7">#REF!</definedName>
    <definedName name="_abs90" localSheetId="25">#REF!</definedName>
    <definedName name="_abs90" localSheetId="19">#REF!</definedName>
    <definedName name="_abs90" localSheetId="3">#REF!</definedName>
    <definedName name="_abs90" localSheetId="10">#REF!</definedName>
    <definedName name="_abs90" localSheetId="16">#REF!</definedName>
    <definedName name="_abs90" localSheetId="21">#REF!</definedName>
    <definedName name="_abs90" localSheetId="14">#REF!</definedName>
    <definedName name="_abs90" localSheetId="9">#REF!</definedName>
    <definedName name="_abs90" localSheetId="8">#REF!</definedName>
    <definedName name="_abs90" localSheetId="12">#REF!</definedName>
    <definedName name="_abs90" localSheetId="15">#REF!</definedName>
    <definedName name="_abs90" localSheetId="20">#REF!</definedName>
    <definedName name="_abs90" localSheetId="22">#REF!</definedName>
    <definedName name="_abs90" localSheetId="18">#REF!</definedName>
    <definedName name="_abs90" localSheetId="30">#REF!</definedName>
    <definedName name="_abs90">#REF!</definedName>
    <definedName name="_cgi24">'[2]update Rate'!$E$86</definedName>
    <definedName name="_cgi26">'[2]update Rate'!$E$87</definedName>
    <definedName name="_est45" localSheetId="27">#REF!</definedName>
    <definedName name="_est45" localSheetId="13">#REF!</definedName>
    <definedName name="_est45" localSheetId="7">#REF!</definedName>
    <definedName name="_est45" localSheetId="25">#REF!</definedName>
    <definedName name="_est45" localSheetId="19">#REF!</definedName>
    <definedName name="_est45" localSheetId="3">#REF!</definedName>
    <definedName name="_est45" localSheetId="10">#REF!</definedName>
    <definedName name="_est45" localSheetId="16">#REF!</definedName>
    <definedName name="_est45" localSheetId="21">#REF!</definedName>
    <definedName name="_est45" localSheetId="14">#REF!</definedName>
    <definedName name="_est45" localSheetId="9">#REF!</definedName>
    <definedName name="_est45" localSheetId="8">#REF!</definedName>
    <definedName name="_est45" localSheetId="12">#REF!</definedName>
    <definedName name="_est45" localSheetId="15">#REF!</definedName>
    <definedName name="_est45" localSheetId="20">#REF!</definedName>
    <definedName name="_est45" localSheetId="22">#REF!</definedName>
    <definedName name="_est45" localSheetId="18">#REF!</definedName>
    <definedName name="_est45" localSheetId="30">#REF!</definedName>
    <definedName name="_est45">#REF!</definedName>
    <definedName name="_est60" localSheetId="27">#REF!</definedName>
    <definedName name="_est60" localSheetId="13">#REF!</definedName>
    <definedName name="_est60" localSheetId="7">#REF!</definedName>
    <definedName name="_est60" localSheetId="25">#REF!</definedName>
    <definedName name="_est60" localSheetId="19">#REF!</definedName>
    <definedName name="_est60" localSheetId="3">#REF!</definedName>
    <definedName name="_est60" localSheetId="10">#REF!</definedName>
    <definedName name="_est60" localSheetId="16">#REF!</definedName>
    <definedName name="_est60" localSheetId="21">#REF!</definedName>
    <definedName name="_est60" localSheetId="14">#REF!</definedName>
    <definedName name="_est60" localSheetId="9">#REF!</definedName>
    <definedName name="_est60" localSheetId="8">#REF!</definedName>
    <definedName name="_est60" localSheetId="12">#REF!</definedName>
    <definedName name="_est60" localSheetId="15">#REF!</definedName>
    <definedName name="_est60" localSheetId="20">#REF!</definedName>
    <definedName name="_est60" localSheetId="22">#REF!</definedName>
    <definedName name="_est60" localSheetId="18">#REF!</definedName>
    <definedName name="_est60" localSheetId="30">#REF!</definedName>
    <definedName name="_est60">#REF!</definedName>
    <definedName name="_est90" localSheetId="27">#REF!</definedName>
    <definedName name="_est90" localSheetId="13">#REF!</definedName>
    <definedName name="_est90" localSheetId="7">#REF!</definedName>
    <definedName name="_est90" localSheetId="25">#REF!</definedName>
    <definedName name="_est90" localSheetId="19">#REF!</definedName>
    <definedName name="_est90" localSheetId="3">#REF!</definedName>
    <definedName name="_est90" localSheetId="10">#REF!</definedName>
    <definedName name="_est90" localSheetId="16">#REF!</definedName>
    <definedName name="_est90" localSheetId="21">#REF!</definedName>
    <definedName name="_est90" localSheetId="14">#REF!</definedName>
    <definedName name="_est90" localSheetId="9">#REF!</definedName>
    <definedName name="_est90" localSheetId="8">#REF!</definedName>
    <definedName name="_est90" localSheetId="12">#REF!</definedName>
    <definedName name="_est90" localSheetId="15">#REF!</definedName>
    <definedName name="_est90" localSheetId="20">#REF!</definedName>
    <definedName name="_est90" localSheetId="22">#REF!</definedName>
    <definedName name="_est90" localSheetId="18">#REF!</definedName>
    <definedName name="_est90" localSheetId="30">#REF!</definedName>
    <definedName name="_est90">#REF!</definedName>
    <definedName name="_Fill" hidden="1">#REF!</definedName>
    <definedName name="_FRT1" localSheetId="27" hidden="1">#REF!</definedName>
    <definedName name="_FRT1" localSheetId="13" hidden="1">#REF!</definedName>
    <definedName name="_FRT1" localSheetId="7" hidden="1">#REF!</definedName>
    <definedName name="_FRT1" localSheetId="25" hidden="1">#REF!</definedName>
    <definedName name="_FRT1" localSheetId="19" hidden="1">#REF!</definedName>
    <definedName name="_FRT1" localSheetId="3" hidden="1">#REF!</definedName>
    <definedName name="_FRT1" localSheetId="10" hidden="1">#REF!</definedName>
    <definedName name="_FRT1" localSheetId="16" hidden="1">#REF!</definedName>
    <definedName name="_FRT1" localSheetId="21" hidden="1">#REF!</definedName>
    <definedName name="_FRT1" localSheetId="14" hidden="1">#REF!</definedName>
    <definedName name="_FRT1" localSheetId="9" hidden="1">#REF!</definedName>
    <definedName name="_FRT1" localSheetId="8" hidden="1">#REF!</definedName>
    <definedName name="_FRT1" localSheetId="12" hidden="1">#REF!</definedName>
    <definedName name="_FRT1" localSheetId="15" hidden="1">#REF!</definedName>
    <definedName name="_FRT1" localSheetId="20" hidden="1">#REF!</definedName>
    <definedName name="_FRT1" localSheetId="22" hidden="1">#REF!</definedName>
    <definedName name="_FRT1" localSheetId="18" hidden="1">#REF!</definedName>
    <definedName name="_FRT1" localSheetId="30" hidden="1">#REF!</definedName>
    <definedName name="_FRT1" hidden="1">#REF!</definedName>
    <definedName name="_FRT5" localSheetId="27" hidden="1">#REF!</definedName>
    <definedName name="_FRT5" localSheetId="13" hidden="1">#REF!</definedName>
    <definedName name="_FRT5" localSheetId="7" hidden="1">#REF!</definedName>
    <definedName name="_FRT5" localSheetId="25" hidden="1">#REF!</definedName>
    <definedName name="_FRT5" localSheetId="19" hidden="1">#REF!</definedName>
    <definedName name="_FRT5" localSheetId="3" hidden="1">#REF!</definedName>
    <definedName name="_FRT5" localSheetId="10" hidden="1">#REF!</definedName>
    <definedName name="_FRT5" localSheetId="16" hidden="1">#REF!</definedName>
    <definedName name="_FRT5" localSheetId="21" hidden="1">#REF!</definedName>
    <definedName name="_FRT5" localSheetId="14" hidden="1">#REF!</definedName>
    <definedName name="_FRT5" localSheetId="9" hidden="1">#REF!</definedName>
    <definedName name="_FRT5" localSheetId="8" hidden="1">#REF!</definedName>
    <definedName name="_FRT5" localSheetId="12" hidden="1">#REF!</definedName>
    <definedName name="_FRT5" localSheetId="15" hidden="1">#REF!</definedName>
    <definedName name="_FRT5" localSheetId="20" hidden="1">#REF!</definedName>
    <definedName name="_FRT5" localSheetId="22" hidden="1">#REF!</definedName>
    <definedName name="_FRT5" localSheetId="18" hidden="1">#REF!</definedName>
    <definedName name="_FRT5" localSheetId="30" hidden="1">#REF!</definedName>
    <definedName name="_FRT5" hidden="1">#REF!</definedName>
    <definedName name="_mh60" localSheetId="11" hidden="1">[4]DRates!$K$41</definedName>
    <definedName name="_mh60" hidden="1">#REF!</definedName>
    <definedName name="a" hidden="1">#REF!</definedName>
    <definedName name="abs" localSheetId="27">#REF!</definedName>
    <definedName name="abs" localSheetId="13">#REF!</definedName>
    <definedName name="abs" localSheetId="7">#REF!</definedName>
    <definedName name="abs" localSheetId="25">#REF!</definedName>
    <definedName name="abs" localSheetId="19">#REF!</definedName>
    <definedName name="abs" localSheetId="3">#REF!</definedName>
    <definedName name="abs" localSheetId="10">#REF!</definedName>
    <definedName name="abs" localSheetId="16">#REF!</definedName>
    <definedName name="abs" localSheetId="21">#REF!</definedName>
    <definedName name="abs" localSheetId="14">#REF!</definedName>
    <definedName name="abs" localSheetId="9">#REF!</definedName>
    <definedName name="abs" localSheetId="8">#REF!</definedName>
    <definedName name="abs" localSheetId="12">#REF!</definedName>
    <definedName name="abs" localSheetId="15">#REF!</definedName>
    <definedName name="abs" localSheetId="20">#REF!</definedName>
    <definedName name="abs" localSheetId="22">#REF!</definedName>
    <definedName name="abs" localSheetId="18">#REF!</definedName>
    <definedName name="abs" localSheetId="30">#REF!</definedName>
    <definedName name="abs">#REF!</definedName>
    <definedName name="absdrain" localSheetId="27">#REF!</definedName>
    <definedName name="absdrain" localSheetId="13">#REF!</definedName>
    <definedName name="absdrain" localSheetId="7">#REF!</definedName>
    <definedName name="absdrain" localSheetId="25">#REF!</definedName>
    <definedName name="absdrain" localSheetId="19">#REF!</definedName>
    <definedName name="absdrain" localSheetId="3">#REF!</definedName>
    <definedName name="absdrain" localSheetId="10">#REF!</definedName>
    <definedName name="absdrain" localSheetId="16">#REF!</definedName>
    <definedName name="absdrain" localSheetId="21">#REF!</definedName>
    <definedName name="absdrain" localSheetId="14">#REF!</definedName>
    <definedName name="absdrain" localSheetId="9">#REF!</definedName>
    <definedName name="absdrain" localSheetId="8">#REF!</definedName>
    <definedName name="absdrain" localSheetId="12">#REF!</definedName>
    <definedName name="absdrain" localSheetId="15">#REF!</definedName>
    <definedName name="absdrain" localSheetId="20">#REF!</definedName>
    <definedName name="absdrain" localSheetId="22">#REF!</definedName>
    <definedName name="absdrain" localSheetId="18">#REF!</definedName>
    <definedName name="absdrain" localSheetId="30">#REF!</definedName>
    <definedName name="absdrain">#REF!</definedName>
    <definedName name="absearth" localSheetId="27">#REF!</definedName>
    <definedName name="absearth" localSheetId="13">#REF!</definedName>
    <definedName name="absearth" localSheetId="7">#REF!</definedName>
    <definedName name="absearth" localSheetId="25">#REF!</definedName>
    <definedName name="absearth" localSheetId="19">#REF!</definedName>
    <definedName name="absearth" localSheetId="3">#REF!</definedName>
    <definedName name="absearth" localSheetId="10">#REF!</definedName>
    <definedName name="absearth" localSheetId="16">#REF!</definedName>
    <definedName name="absearth" localSheetId="21">#REF!</definedName>
    <definedName name="absearth" localSheetId="14">#REF!</definedName>
    <definedName name="absearth" localSheetId="9">#REF!</definedName>
    <definedName name="absearth" localSheetId="8">#REF!</definedName>
    <definedName name="absearth" localSheetId="12">#REF!</definedName>
    <definedName name="absearth" localSheetId="15">#REF!</definedName>
    <definedName name="absearth" localSheetId="20">#REF!</definedName>
    <definedName name="absearth" localSheetId="22">#REF!</definedName>
    <definedName name="absearth" localSheetId="18">#REF!</definedName>
    <definedName name="absearth" localSheetId="30">#REF!</definedName>
    <definedName name="absearth">#REF!</definedName>
    <definedName name="absretain" localSheetId="27">#REF!</definedName>
    <definedName name="absretain" localSheetId="13">#REF!</definedName>
    <definedName name="absretain" localSheetId="7">#REF!</definedName>
    <definedName name="absretain" localSheetId="25">#REF!</definedName>
    <definedName name="absretain" localSheetId="19">#REF!</definedName>
    <definedName name="absretain" localSheetId="3">#REF!</definedName>
    <definedName name="absretain" localSheetId="10">#REF!</definedName>
    <definedName name="absretain" localSheetId="16">#REF!</definedName>
    <definedName name="absretain" localSheetId="21">#REF!</definedName>
    <definedName name="absretain" localSheetId="14">#REF!</definedName>
    <definedName name="absretain" localSheetId="9">#REF!</definedName>
    <definedName name="absretain" localSheetId="8">#REF!</definedName>
    <definedName name="absretain" localSheetId="12">#REF!</definedName>
    <definedName name="absretain" localSheetId="15">#REF!</definedName>
    <definedName name="absretain" localSheetId="20">#REF!</definedName>
    <definedName name="absretain" localSheetId="22">#REF!</definedName>
    <definedName name="absretain" localSheetId="18">#REF!</definedName>
    <definedName name="absretain" localSheetId="30">#REF!</definedName>
    <definedName name="absretain">#REF!</definedName>
    <definedName name="also60">#REF!</definedName>
    <definedName name="ana" localSheetId="27">#REF!</definedName>
    <definedName name="ana" localSheetId="13">#REF!</definedName>
    <definedName name="ana" localSheetId="7">#REF!</definedName>
    <definedName name="ana" localSheetId="25">#REF!</definedName>
    <definedName name="ana" localSheetId="19">#REF!</definedName>
    <definedName name="ana" localSheetId="3">#REF!</definedName>
    <definedName name="ana" localSheetId="10">#REF!</definedName>
    <definedName name="ana" localSheetId="16">#REF!</definedName>
    <definedName name="ana" localSheetId="21">#REF!</definedName>
    <definedName name="ana" localSheetId="14">#REF!</definedName>
    <definedName name="ana" localSheetId="9">#REF!</definedName>
    <definedName name="ana" localSheetId="8">#REF!</definedName>
    <definedName name="ana" localSheetId="12">#REF!</definedName>
    <definedName name="ana" localSheetId="15">#REF!</definedName>
    <definedName name="ana" localSheetId="20">#REF!</definedName>
    <definedName name="ana" localSheetId="22">#REF!</definedName>
    <definedName name="ana" localSheetId="18">#REF!</definedName>
    <definedName name="ana" localSheetId="30">#REF!</definedName>
    <definedName name="ana">#REF!</definedName>
    <definedName name="awood">'[2]update Rate'!$E$50</definedName>
    <definedName name="Bamboo" localSheetId="27">#REF!</definedName>
    <definedName name="Bamboo" localSheetId="13">#REF!</definedName>
    <definedName name="Bamboo" localSheetId="7">#REF!</definedName>
    <definedName name="Bamboo" localSheetId="25">#REF!</definedName>
    <definedName name="Bamboo" localSheetId="19">#REF!</definedName>
    <definedName name="Bamboo" localSheetId="11">'[5]Rate analysis of Road'!#REF!</definedName>
    <definedName name="Bamboo" localSheetId="3">#REF!</definedName>
    <definedName name="Bamboo" localSheetId="10">#REF!</definedName>
    <definedName name="Bamboo" localSheetId="16">#REF!</definedName>
    <definedName name="Bamboo" localSheetId="21">#REF!</definedName>
    <definedName name="Bamboo" localSheetId="14">#REF!</definedName>
    <definedName name="Bamboo" localSheetId="9">#REF!</definedName>
    <definedName name="Bamboo" localSheetId="8">#REF!</definedName>
    <definedName name="Bamboo" localSheetId="12">#REF!</definedName>
    <definedName name="Bamboo" localSheetId="15">#REF!</definedName>
    <definedName name="Bamboo" localSheetId="20">#REF!</definedName>
    <definedName name="Bamboo" localSheetId="22">#REF!</definedName>
    <definedName name="Bamboo" localSheetId="18">#REF!</definedName>
    <definedName name="Bamboo" localSheetId="30">#REF!</definedName>
    <definedName name="Bamboo">#REF!</definedName>
    <definedName name="barbed" localSheetId="11" hidden="1">[6]Features!$B$18:$B$83</definedName>
    <definedName name="barbed" hidden="1">#REF!</definedName>
    <definedName name="bh" localSheetId="27" hidden="1">#REF!</definedName>
    <definedName name="bh" localSheetId="25" hidden="1">#REF!</definedName>
    <definedName name="bh" localSheetId="19" hidden="1">#REF!</definedName>
    <definedName name="bh" localSheetId="3" hidden="1">#REF!</definedName>
    <definedName name="bh" localSheetId="16" hidden="1">#REF!</definedName>
    <definedName name="bh" localSheetId="14" hidden="1">#REF!</definedName>
    <definedName name="bh" localSheetId="15" hidden="1">#REF!</definedName>
    <definedName name="bh" localSheetId="18" hidden="1">#REF!</definedName>
    <definedName name="bh" localSheetId="30" hidden="1">#REF!</definedName>
    <definedName name="bh" hidden="1">#REF!</definedName>
    <definedName name="bill">#REF!</definedName>
    <definedName name="bmarble">'[7]update Rate'!$E$41</definedName>
    <definedName name="Broken_stone" localSheetId="27">#REF!</definedName>
    <definedName name="Broken_stone" localSheetId="13">#REF!</definedName>
    <definedName name="Broken_stone" localSheetId="7">#REF!</definedName>
    <definedName name="Broken_stone" localSheetId="25">#REF!</definedName>
    <definedName name="Broken_stone" localSheetId="19">#REF!</definedName>
    <definedName name="Broken_stone" localSheetId="11">'[5]Rate analysis of Road'!#REF!</definedName>
    <definedName name="Broken_stone" localSheetId="3">#REF!</definedName>
    <definedName name="Broken_stone" localSheetId="10">#REF!</definedName>
    <definedName name="Broken_stone" localSheetId="16">#REF!</definedName>
    <definedName name="Broken_stone" localSheetId="21">#REF!</definedName>
    <definedName name="Broken_stone" localSheetId="14">#REF!</definedName>
    <definedName name="Broken_stone" localSheetId="9">#REF!</definedName>
    <definedName name="Broken_stone" localSheetId="8">#REF!</definedName>
    <definedName name="Broken_stone" localSheetId="12">#REF!</definedName>
    <definedName name="Broken_stone" localSheetId="15">#REF!</definedName>
    <definedName name="Broken_stone" localSheetId="20">#REF!</definedName>
    <definedName name="Broken_stone" localSheetId="22">#REF!</definedName>
    <definedName name="Broken_stone" localSheetId="18">#REF!</definedName>
    <definedName name="Broken_stone" localSheetId="30">#REF!</definedName>
    <definedName name="Broken_stone">#REF!</definedName>
    <definedName name="CFRT1" localSheetId="27" hidden="1">#REF!</definedName>
    <definedName name="CFRT1" localSheetId="13" hidden="1">#REF!</definedName>
    <definedName name="CFRT1" localSheetId="7" hidden="1">#REF!</definedName>
    <definedName name="CFRT1" localSheetId="25" hidden="1">#REF!</definedName>
    <definedName name="CFRT1" localSheetId="19" hidden="1">#REF!</definedName>
    <definedName name="CFRT1" localSheetId="3" hidden="1">#REF!</definedName>
    <definedName name="CFRT1" localSheetId="10" hidden="1">#REF!</definedName>
    <definedName name="CFRT1" localSheetId="16" hidden="1">#REF!</definedName>
    <definedName name="CFRT1" localSheetId="21" hidden="1">#REF!</definedName>
    <definedName name="CFRT1" localSheetId="14" hidden="1">#REF!</definedName>
    <definedName name="CFRT1" localSheetId="9" hidden="1">#REF!</definedName>
    <definedName name="CFRT1" localSheetId="8" hidden="1">#REF!</definedName>
    <definedName name="CFRT1" localSheetId="12" hidden="1">#REF!</definedName>
    <definedName name="CFRT1" localSheetId="15" hidden="1">#REF!</definedName>
    <definedName name="CFRT1" localSheetId="20" hidden="1">#REF!</definedName>
    <definedName name="CFRT1" localSheetId="22" hidden="1">#REF!</definedName>
    <definedName name="CFRT1" localSheetId="18" hidden="1">#REF!</definedName>
    <definedName name="CFRT1" localSheetId="30" hidden="1">#REF!</definedName>
    <definedName name="CFRT1" hidden="1">#REF!</definedName>
    <definedName name="CFRT5" localSheetId="27" hidden="1">#REF!</definedName>
    <definedName name="CFRT5" localSheetId="13" hidden="1">#REF!</definedName>
    <definedName name="CFRT5" localSheetId="7" hidden="1">#REF!</definedName>
    <definedName name="CFRT5" localSheetId="25" hidden="1">#REF!</definedName>
    <definedName name="CFRT5" localSheetId="19" hidden="1">#REF!</definedName>
    <definedName name="CFRT5" localSheetId="3" hidden="1">#REF!</definedName>
    <definedName name="CFRT5" localSheetId="10" hidden="1">#REF!</definedName>
    <definedName name="CFRT5" localSheetId="16" hidden="1">#REF!</definedName>
    <definedName name="CFRT5" localSheetId="21" hidden="1">#REF!</definedName>
    <definedName name="CFRT5" localSheetId="14" hidden="1">#REF!</definedName>
    <definedName name="CFRT5" localSheetId="9" hidden="1">#REF!</definedName>
    <definedName name="CFRT5" localSheetId="8" hidden="1">#REF!</definedName>
    <definedName name="CFRT5" localSheetId="12" hidden="1">#REF!</definedName>
    <definedName name="CFRT5" localSheetId="15" hidden="1">#REF!</definedName>
    <definedName name="CFRT5" localSheetId="20" hidden="1">#REF!</definedName>
    <definedName name="CFRT5" localSheetId="22" hidden="1">#REF!</definedName>
    <definedName name="CFRT5" localSheetId="18" hidden="1">#REF!</definedName>
    <definedName name="CFRT5" localSheetId="30" hidden="1">#REF!</definedName>
    <definedName name="CFRT5" hidden="1">#REF!</definedName>
    <definedName name="cheskini100">'[2]update Rate'!$E$61</definedName>
    <definedName name="cheskini150">'[2]update Rate'!$E$62</definedName>
    <definedName name="cheskini300">'[2]update Rate'!$E$63</definedName>
    <definedName name="Chuna">#REF!</definedName>
    <definedName name="CIN" localSheetId="11" hidden="1">[8]RtAn!$B$1</definedName>
    <definedName name="CIN" hidden="1">#REF!</definedName>
    <definedName name="compound">'[2]Update Descrip'!$B$13:$J$90</definedName>
    <definedName name="CpLst" localSheetId="11" hidden="1">[9]Features!$B$18:$B$83</definedName>
    <definedName name="CpLst" hidden="1">#REF!</definedName>
    <definedName name="cvbn" localSheetId="11" hidden="1">[10]Sheets!$L$63:$O$77</definedName>
    <definedName name="cvbn" hidden="1">#REF!</definedName>
    <definedName name="dd" localSheetId="27">#REF!</definedName>
    <definedName name="dd" localSheetId="13">#REF!</definedName>
    <definedName name="dd" localSheetId="7">#REF!</definedName>
    <definedName name="dd" localSheetId="25">#REF!</definedName>
    <definedName name="dd" localSheetId="19">#REF!</definedName>
    <definedName name="dd" localSheetId="3">#REF!</definedName>
    <definedName name="dd" localSheetId="10">#REF!</definedName>
    <definedName name="dd" localSheetId="16">#REF!</definedName>
    <definedName name="dd" localSheetId="21">#REF!</definedName>
    <definedName name="dd" localSheetId="14">#REF!</definedName>
    <definedName name="dd" localSheetId="9">#REF!</definedName>
    <definedName name="dd" localSheetId="8">#REF!</definedName>
    <definedName name="dd" localSheetId="12">#REF!</definedName>
    <definedName name="dd" localSheetId="15">#REF!</definedName>
    <definedName name="dd" localSheetId="20">#REF!</definedName>
    <definedName name="dd" localSheetId="22">#REF!</definedName>
    <definedName name="dd" localSheetId="18">#REF!</definedName>
    <definedName name="dd" localSheetId="30">#REF!</definedName>
    <definedName name="dd">#REF!</definedName>
    <definedName name="Diagowar">'[2]update Rate'!$E$165</definedName>
    <definedName name="DimFRT" localSheetId="11" hidden="1">[11]Sheets!$L$63:$O$77</definedName>
    <definedName name="DimFRT" hidden="1">#REF!</definedName>
    <definedName name="District1" localSheetId="27">#REF!</definedName>
    <definedName name="District1" localSheetId="13">#REF!</definedName>
    <definedName name="District1" localSheetId="7">#REF!</definedName>
    <definedName name="District1" localSheetId="25">#REF!</definedName>
    <definedName name="District1" localSheetId="19">#REF!</definedName>
    <definedName name="District1" localSheetId="3">#REF!</definedName>
    <definedName name="District1" localSheetId="10">#REF!</definedName>
    <definedName name="District1" localSheetId="16">#REF!</definedName>
    <definedName name="District1" localSheetId="21">#REF!</definedName>
    <definedName name="District1" localSheetId="14">#REF!</definedName>
    <definedName name="District1" localSheetId="9">#REF!</definedName>
    <definedName name="District1" localSheetId="8">#REF!</definedName>
    <definedName name="District1" localSheetId="12">#REF!</definedName>
    <definedName name="District1" localSheetId="15">#REF!</definedName>
    <definedName name="District1" localSheetId="20">#REF!</definedName>
    <definedName name="District1" localSheetId="22">#REF!</definedName>
    <definedName name="District1" localSheetId="18">#REF!</definedName>
    <definedName name="District1" localSheetId="30">#REF!</definedName>
    <definedName name="District1">#REF!</definedName>
    <definedName name="drain">#REF!</definedName>
    <definedName name="drainb">'[12]Estimate drain vinayak'!$B$14:$I$44</definedName>
    <definedName name="electrical">[2]Sheet1!$B$12:$F$60</definedName>
    <definedName name="Enamel" localSheetId="27">#REF!</definedName>
    <definedName name="Enamel" localSheetId="13">#REF!</definedName>
    <definedName name="Enamel" localSheetId="7">#REF!</definedName>
    <definedName name="Enamel" localSheetId="25">#REF!</definedName>
    <definedName name="Enamel" localSheetId="19">#REF!</definedName>
    <definedName name="Enamel" localSheetId="11">'[5]Rate analysis of Road'!#REF!</definedName>
    <definedName name="Enamel" localSheetId="3">#REF!</definedName>
    <definedName name="Enamel" localSheetId="10">#REF!</definedName>
    <definedName name="Enamel" localSheetId="16">#REF!</definedName>
    <definedName name="Enamel" localSheetId="21">#REF!</definedName>
    <definedName name="Enamel" localSheetId="14">#REF!</definedName>
    <definedName name="Enamel" localSheetId="9">#REF!</definedName>
    <definedName name="Enamel" localSheetId="8">#REF!</definedName>
    <definedName name="Enamel" localSheetId="12">#REF!</definedName>
    <definedName name="Enamel" localSheetId="15">#REF!</definedName>
    <definedName name="Enamel" localSheetId="20">#REF!</definedName>
    <definedName name="Enamel" localSheetId="22">#REF!</definedName>
    <definedName name="Enamel" localSheetId="18">#REF!</definedName>
    <definedName name="Enamel" localSheetId="30">#REF!</definedName>
    <definedName name="Enamel">#REF!</definedName>
    <definedName name="estdrain" localSheetId="27">#REF!</definedName>
    <definedName name="estdrain" localSheetId="13">#REF!</definedName>
    <definedName name="estdrain" localSheetId="7">#REF!</definedName>
    <definedName name="estdrain" localSheetId="25">#REF!</definedName>
    <definedName name="estdrain" localSheetId="19">#REF!</definedName>
    <definedName name="estdrain" localSheetId="3">#REF!</definedName>
    <definedName name="estdrain" localSheetId="10">#REF!</definedName>
    <definedName name="estdrain" localSheetId="16">#REF!</definedName>
    <definedName name="estdrain" localSheetId="21">#REF!</definedName>
    <definedName name="estdrain" localSheetId="14">#REF!</definedName>
    <definedName name="estdrain" localSheetId="9">#REF!</definedName>
    <definedName name="estdrain" localSheetId="8">#REF!</definedName>
    <definedName name="estdrain" localSheetId="12">#REF!</definedName>
    <definedName name="estdrain" localSheetId="15">#REF!</definedName>
    <definedName name="estdrain" localSheetId="20">#REF!</definedName>
    <definedName name="estdrain" localSheetId="22">#REF!</definedName>
    <definedName name="estdrain" localSheetId="18">#REF!</definedName>
    <definedName name="estdrain" localSheetId="30">#REF!</definedName>
    <definedName name="estdrain">#REF!</definedName>
    <definedName name="estearth" localSheetId="27">#REF!</definedName>
    <definedName name="estearth" localSheetId="13">#REF!</definedName>
    <definedName name="estearth" localSheetId="7">#REF!</definedName>
    <definedName name="estearth" localSheetId="25">#REF!</definedName>
    <definedName name="estearth" localSheetId="19">#REF!</definedName>
    <definedName name="estearth" localSheetId="3">#REF!</definedName>
    <definedName name="estearth" localSheetId="10">#REF!</definedName>
    <definedName name="estearth" localSheetId="16">#REF!</definedName>
    <definedName name="estearth" localSheetId="21">#REF!</definedName>
    <definedName name="estearth" localSheetId="14">#REF!</definedName>
    <definedName name="estearth" localSheetId="9">#REF!</definedName>
    <definedName name="estearth" localSheetId="8">#REF!</definedName>
    <definedName name="estearth" localSheetId="12">#REF!</definedName>
    <definedName name="estearth" localSheetId="15">#REF!</definedName>
    <definedName name="estearth" localSheetId="20">#REF!</definedName>
    <definedName name="estearth" localSheetId="22">#REF!</definedName>
    <definedName name="estearth" localSheetId="18">#REF!</definedName>
    <definedName name="estearth" localSheetId="30">#REF!</definedName>
    <definedName name="estearth">#REF!</definedName>
    <definedName name="estretain" localSheetId="27">#REF!</definedName>
    <definedName name="estretain" localSheetId="13">#REF!</definedName>
    <definedName name="estretain" localSheetId="7">#REF!</definedName>
    <definedName name="estretain" localSheetId="25">#REF!</definedName>
    <definedName name="estretain" localSheetId="19">#REF!</definedName>
    <definedName name="estretain" localSheetId="3">#REF!</definedName>
    <definedName name="estretain" localSheetId="10">#REF!</definedName>
    <definedName name="estretain" localSheetId="16">#REF!</definedName>
    <definedName name="estretain" localSheetId="21">#REF!</definedName>
    <definedName name="estretain" localSheetId="14">#REF!</definedName>
    <definedName name="estretain" localSheetId="9">#REF!</definedName>
    <definedName name="estretain" localSheetId="8">#REF!</definedName>
    <definedName name="estretain" localSheetId="12">#REF!</definedName>
    <definedName name="estretain" localSheetId="15">#REF!</definedName>
    <definedName name="estretain" localSheetId="20">#REF!</definedName>
    <definedName name="estretain" localSheetId="22">#REF!</definedName>
    <definedName name="estretain" localSheetId="18">#REF!</definedName>
    <definedName name="estretain" localSheetId="30">#REF!</definedName>
    <definedName name="estretain">#REF!</definedName>
    <definedName name="Factorr" localSheetId="27">#REF!</definedName>
    <definedName name="Factorr" localSheetId="13">#REF!</definedName>
    <definedName name="Factorr" localSheetId="7">#REF!</definedName>
    <definedName name="Factorr" localSheetId="25">#REF!</definedName>
    <definedName name="Factorr" localSheetId="19">#REF!</definedName>
    <definedName name="Factorr" localSheetId="3">#REF!</definedName>
    <definedName name="Factorr" localSheetId="10">#REF!</definedName>
    <definedName name="Factorr" localSheetId="16">#REF!</definedName>
    <definedName name="Factorr" localSheetId="21">#REF!</definedName>
    <definedName name="Factorr" localSheetId="14">#REF!</definedName>
    <definedName name="Factorr" localSheetId="9">#REF!</definedName>
    <definedName name="Factorr" localSheetId="8">#REF!</definedName>
    <definedName name="Factorr" localSheetId="12">#REF!</definedName>
    <definedName name="Factorr" localSheetId="15">#REF!</definedName>
    <definedName name="Factorr" localSheetId="20">#REF!</definedName>
    <definedName name="Factorr" localSheetId="22">#REF!</definedName>
    <definedName name="Factorr" localSheetId="18">#REF!</definedName>
    <definedName name="Factorr" localSheetId="30">#REF!</definedName>
    <definedName name="Factorr">#REF!</definedName>
    <definedName name="FFFF" hidden="1">#REF!</definedName>
    <definedName name="Fit" localSheetId="11" hidden="1">[13]RtAn!$B$1</definedName>
    <definedName name="Fit" hidden="1">#REF!</definedName>
    <definedName name="GIpipe40mm" localSheetId="27">#REF!</definedName>
    <definedName name="GIpipe40mm" localSheetId="13">#REF!</definedName>
    <definedName name="GIpipe40mm" localSheetId="7">#REF!</definedName>
    <definedName name="GIpipe40mm" localSheetId="25">#REF!</definedName>
    <definedName name="GIpipe40mm" localSheetId="19">#REF!</definedName>
    <definedName name="GIpipe40mm" localSheetId="11">'[5]Rate analysis of Road'!#REF!</definedName>
    <definedName name="GIpipe40mm" localSheetId="3">#REF!</definedName>
    <definedName name="GIpipe40mm" localSheetId="10">#REF!</definedName>
    <definedName name="GIpipe40mm" localSheetId="16">#REF!</definedName>
    <definedName name="GIpipe40mm" localSheetId="21">#REF!</definedName>
    <definedName name="GIpipe40mm" localSheetId="14">#REF!</definedName>
    <definedName name="GIpipe40mm" localSheetId="9">#REF!</definedName>
    <definedName name="GIpipe40mm" localSheetId="8">#REF!</definedName>
    <definedName name="GIpipe40mm" localSheetId="12">#REF!</definedName>
    <definedName name="GIpipe40mm" localSheetId="15">#REF!</definedName>
    <definedName name="GIpipe40mm" localSheetId="20">#REF!</definedName>
    <definedName name="GIpipe40mm" localSheetId="22">#REF!</definedName>
    <definedName name="GIpipe40mm" localSheetId="18">#REF!</definedName>
    <definedName name="GIpipe40mm" localSheetId="30">#REF!</definedName>
    <definedName name="GIpipe40mm">#REF!</definedName>
    <definedName name="GiPipe50mm" localSheetId="27">#REF!</definedName>
    <definedName name="GiPipe50mm" localSheetId="13">#REF!</definedName>
    <definedName name="GiPipe50mm" localSheetId="7">#REF!</definedName>
    <definedName name="GiPipe50mm" localSheetId="25">#REF!</definedName>
    <definedName name="GiPipe50mm" localSheetId="19">#REF!</definedName>
    <definedName name="GiPipe50mm" localSheetId="11">'[5]Rate analysis of Road'!#REF!</definedName>
    <definedName name="GiPipe50mm" localSheetId="3">#REF!</definedName>
    <definedName name="GiPipe50mm" localSheetId="10">#REF!</definedName>
    <definedName name="GiPipe50mm" localSheetId="16">#REF!</definedName>
    <definedName name="GiPipe50mm" localSheetId="21">#REF!</definedName>
    <definedName name="GiPipe50mm" localSheetId="14">#REF!</definedName>
    <definedName name="GiPipe50mm" localSheetId="9">#REF!</definedName>
    <definedName name="GiPipe50mm" localSheetId="8">#REF!</definedName>
    <definedName name="GiPipe50mm" localSheetId="12">#REF!</definedName>
    <definedName name="GiPipe50mm" localSheetId="15">#REF!</definedName>
    <definedName name="GiPipe50mm" localSheetId="20">#REF!</definedName>
    <definedName name="GiPipe50mm" localSheetId="22">#REF!</definedName>
    <definedName name="GiPipe50mm" localSheetId="18">#REF!</definedName>
    <definedName name="GiPipe50mm" localSheetId="30">#REF!</definedName>
    <definedName name="GiPipe50mm">#REF!</definedName>
    <definedName name="giwar">'[2]update Rate'!$E$164</definedName>
    <definedName name="giwire">'[2]update Rate'!$E$46</definedName>
    <definedName name="giwire24">'[2]update Rate'!$E$47</definedName>
    <definedName name="glass3">'[2]update Rate'!$E$77</definedName>
    <definedName name="glass4">'[2]update Rate'!$E$78</definedName>
    <definedName name="glass5">'[2]update Rate'!$E$79</definedName>
    <definedName name="glass6">'[2]update Rate'!$E$80</definedName>
    <definedName name="hn" localSheetId="27" hidden="1">#REF!</definedName>
    <definedName name="hn" localSheetId="13" hidden="1">#REF!</definedName>
    <definedName name="hn" localSheetId="7" hidden="1">#REF!</definedName>
    <definedName name="hn" localSheetId="25" hidden="1">#REF!</definedName>
    <definedName name="hn" localSheetId="19" hidden="1">#REF!</definedName>
    <definedName name="hn" localSheetId="11" hidden="1">'[14]FRT Estimate 8 cum'!#REF!</definedName>
    <definedName name="hn" localSheetId="3" hidden="1">#REF!</definedName>
    <definedName name="hn" localSheetId="10" hidden="1">#REF!</definedName>
    <definedName name="hn" localSheetId="16" hidden="1">#REF!</definedName>
    <definedName name="hn" localSheetId="21" hidden="1">#REF!</definedName>
    <definedName name="hn" localSheetId="14" hidden="1">#REF!</definedName>
    <definedName name="hn" localSheetId="9" hidden="1">#REF!</definedName>
    <definedName name="hn" localSheetId="8" hidden="1">#REF!</definedName>
    <definedName name="hn" localSheetId="12" hidden="1">#REF!</definedName>
    <definedName name="hn" localSheetId="15" hidden="1">#REF!</definedName>
    <definedName name="hn" localSheetId="20" hidden="1">#REF!</definedName>
    <definedName name="hn" localSheetId="22" hidden="1">#REF!</definedName>
    <definedName name="hn" localSheetId="18" hidden="1">#REF!</definedName>
    <definedName name="hn" localSheetId="30" hidden="1">#REF!</definedName>
    <definedName name="hn" hidden="1">#REF!</definedName>
    <definedName name="holpass">'[2]update Rate'!$E$58</definedName>
    <definedName name="jphalak">'[2]update Rate'!$E$54</definedName>
    <definedName name="Jwood">'[2]update Rate'!$E$52</definedName>
    <definedName name="Jyami">#REF!</definedName>
    <definedName name="Kabja100">'[2]update Rate'!$E$59</definedName>
    <definedName name="kabja75">'[2]update Rate'!$E$60</definedName>
    <definedName name="kila">'[2]update Rate'!$E$55</definedName>
    <definedName name="lucking300">'[2]update Rate'!$E$64</definedName>
    <definedName name="mainbldg">'[2]Table of Content'!$B$12:$J$639</definedName>
    <definedName name="Marble">'[2]update Rate'!$E$40</definedName>
    <definedName name="mason">'[2]update Rate'!$E$6</definedName>
    <definedName name="mhs">#REF!</definedName>
    <definedName name="mnjkhgffdd" localSheetId="11" hidden="1">[10]Sheets!$L$63:$O$77</definedName>
    <definedName name="mnjkhgffdd" hidden="1">#REF!</definedName>
    <definedName name="moluck">'[2]update Rate'!$E$65</definedName>
    <definedName name="n" localSheetId="27" hidden="1">#REF!</definedName>
    <definedName name="n" localSheetId="19" hidden="1">#REF!</definedName>
    <definedName name="n" localSheetId="3" hidden="1">#REF!</definedName>
    <definedName name="n" localSheetId="14" hidden="1">#REF!</definedName>
    <definedName name="n" localSheetId="15" hidden="1">#REF!</definedName>
    <definedName name="n" localSheetId="18" hidden="1">#REF!</definedName>
    <definedName name="n" hidden="1">#REF!</definedName>
    <definedName name="nutbolt8">'[2]update Rate'!#REF!</definedName>
    <definedName name="phouse">#REF!</definedName>
    <definedName name="plywood4">'[2]update Rate'!$E$66</definedName>
    <definedName name="plywood6">'[2]update Rate'!$E$67</definedName>
    <definedName name="plywood8">'[15]update Rate'!$E$74</definedName>
    <definedName name="Pnam" localSheetId="11" hidden="1">[1]CheckList!$E$5</definedName>
    <definedName name="Pnam" hidden="1">#REF!</definedName>
    <definedName name="_xlnm.Print_Area" localSheetId="6">Bhawan!$A$1:$Q$210</definedName>
    <definedName name="_xlnm.Print_Area" localSheetId="27">'concrete Ns '!$A$1:$O$196</definedName>
    <definedName name="_xlnm.Print_Area" localSheetId="1">'Cover page'!$A$1:$K$29</definedName>
    <definedName name="_xlnm.Print_Area" localSheetId="13">cpvc!$A$1:$F$160</definedName>
    <definedName name="_xlnm.Print_Area" localSheetId="5">'Dhuwani_Machine_Upakaran Final'!$A$1:$O$64</definedName>
    <definedName name="_xlnm.Print_Area" localSheetId="24">'Equipment tools rate'!$A$1:$O$175</definedName>
    <definedName name="_xlnm.Print_Area" localSheetId="7">Falamjanya!$A$1:$Q$157</definedName>
    <definedName name="_xlnm.Print_Area" localSheetId="25">'Glass Fiber'!$A$1:$O$32</definedName>
    <definedName name="_xlnm.Print_Area" localSheetId="19">'Haate Aujar haru'!$A$1:$R$75</definedName>
    <definedName name="_xlnm.Print_Area" localSheetId="31">'HDP pipe'!$A$1:$I$24</definedName>
    <definedName name="_xlnm.Print_Area" localSheetId="11">HDPE!$A$1:$M$26</definedName>
    <definedName name="_xlnm.Print_Area" localSheetId="4">'Jyala Dar Final'!$A$1:$O$37</definedName>
    <definedName name="_xlnm.Print_Area" localSheetId="10">Khanepani!$A$1:$R$227</definedName>
    <definedName name="_xlnm.Print_Area" localSheetId="16">'Khanepani fittings'!$A$1:$R$464</definedName>
    <definedName name="_xlnm.Print_Area" localSheetId="21">'Micro hydro'!$A$1:$R$26</definedName>
    <definedName name="_xlnm.Print_Area" localSheetId="23">Official!$A$1:$N$177</definedName>
    <definedName name="_xlnm.Print_Area" localSheetId="14">'PPR fittings'!$A$1:$M$63</definedName>
    <definedName name="_xlnm.Print_Area" localSheetId="9">'Rang rogan'!$A$1:$Q$49</definedName>
    <definedName name="_xlnm.Print_Area" localSheetId="8">Sadak!$A$1:$R$84</definedName>
    <definedName name="_xlnm.Print_Area" localSheetId="28">'Sinchai Gate'!$A$1:$G$46</definedName>
    <definedName name="_xlnm.Print_Area" localSheetId="26">Solar!$A$1:$O$26</definedName>
    <definedName name="_xlnm.Print_Area" localSheetId="12">uPVC!$A$1:$I$17</definedName>
    <definedName name="_xlnm.Print_Area" localSheetId="20">Vidut!$A$1:$R$226</definedName>
    <definedName name="_xlnm.Print_Area" localSheetId="22">Vividh!$A$1:$N$22</definedName>
    <definedName name="_xlnm.Print_Area" localSheetId="17">'Wat,Sant_3'!$A$1:$Q$25</definedName>
    <definedName name="_xlnm.Print_Area" localSheetId="18">'Well tubewall'!$A$1:$S$108</definedName>
    <definedName name="_xlnm.Print_Area" localSheetId="30">'yantric rate'!$A$1:$P$11</definedName>
    <definedName name="_xlnm.Print_Area" localSheetId="0">उपस्थिती!$A$1:$E$79</definedName>
    <definedName name="_xlnm.Print_Area" localSheetId="2">निर्णयहरु!$A$1:$B$8</definedName>
    <definedName name="Print_Area_MI">#REF!</definedName>
    <definedName name="_xlnm.Print_Titles" localSheetId="6">Bhawan!$1:$2</definedName>
    <definedName name="_xlnm.Print_Titles" localSheetId="27">'concrete Ns '!$1:$2</definedName>
    <definedName name="_xlnm.Print_Titles" localSheetId="13">cpvc!$1:$2</definedName>
    <definedName name="_xlnm.Print_Titles" localSheetId="5">'Dhuwani_Machine_Upakaran Final'!$1:$2</definedName>
    <definedName name="_xlnm.Print_Titles" localSheetId="24">'Equipment tools rate'!$1:$3</definedName>
    <definedName name="_xlnm.Print_Titles" localSheetId="7">Falamjanya!$1:$2</definedName>
    <definedName name="_xlnm.Print_Titles" localSheetId="19">'Haate Aujar haru'!$1:$2</definedName>
    <definedName name="_xlnm.Print_Titles" localSheetId="4">'Jyala Dar Final'!$1:$2</definedName>
    <definedName name="_xlnm.Print_Titles" localSheetId="10">Khanepani!$1:$2</definedName>
    <definedName name="_xlnm.Print_Titles" localSheetId="16">'Khanepani fittings'!$1:$2</definedName>
    <definedName name="_xlnm.Print_Titles" localSheetId="21">'Micro hydro'!$1:$2</definedName>
    <definedName name="_xlnm.Print_Titles" localSheetId="23">Official!$2:$2</definedName>
    <definedName name="_xlnm.Print_Titles" localSheetId="14">'PPR fittings'!$1:$1</definedName>
    <definedName name="_xlnm.Print_Titles" localSheetId="9">'Rang rogan'!$1:$2</definedName>
    <definedName name="_xlnm.Print_Titles" localSheetId="8">Sadak!$1:$2</definedName>
    <definedName name="_xlnm.Print_Titles" localSheetId="28">'Sinchai Gate'!$1:$2</definedName>
    <definedName name="_xlnm.Print_Titles" localSheetId="15">'uPVC Fittings'!$1:$3</definedName>
    <definedName name="_xlnm.Print_Titles" localSheetId="20">Vidut!$1:$2</definedName>
    <definedName name="_xlnm.Print_Titles" localSheetId="22">Vividh!$1:$2</definedName>
    <definedName name="_xlnm.Print_Titles" localSheetId="18">'Well tubewall'!$1:$2</definedName>
    <definedName name="_xlnm.Print_Titles" localSheetId="30">'yantric rate'!$1:$3</definedName>
    <definedName name="Print_Titles_MI" localSheetId="27">#REF!</definedName>
    <definedName name="Print_Titles_MI" localSheetId="13">#REF!</definedName>
    <definedName name="Print_Titles_MI" localSheetId="7">#REF!</definedName>
    <definedName name="Print_Titles_MI" localSheetId="25">#REF!</definedName>
    <definedName name="Print_Titles_MI" localSheetId="19">#REF!</definedName>
    <definedName name="Print_Titles_MI" localSheetId="3">#REF!</definedName>
    <definedName name="Print_Titles_MI" localSheetId="10">#REF!</definedName>
    <definedName name="Print_Titles_MI" localSheetId="16">#REF!</definedName>
    <definedName name="Print_Titles_MI" localSheetId="21">#REF!</definedName>
    <definedName name="Print_Titles_MI" localSheetId="14">#REF!</definedName>
    <definedName name="Print_Titles_MI" localSheetId="9">#REF!</definedName>
    <definedName name="Print_Titles_MI" localSheetId="8">#REF!</definedName>
    <definedName name="Print_Titles_MI" localSheetId="12">#REF!</definedName>
    <definedName name="Print_Titles_MI" localSheetId="15">#REF!</definedName>
    <definedName name="Print_Titles_MI" localSheetId="20">#REF!</definedName>
    <definedName name="Print_Titles_MI" localSheetId="22">#REF!</definedName>
    <definedName name="Print_Titles_MI" localSheetId="18">#REF!</definedName>
    <definedName name="Print_Titles_MI" localSheetId="30">#REF!</definedName>
    <definedName name="Print_Titles_MI">#REF!</definedName>
    <definedName name="rate" localSheetId="27">#REF!</definedName>
    <definedName name="rate" localSheetId="13">#REF!</definedName>
    <definedName name="rate" localSheetId="7">#REF!</definedName>
    <definedName name="rate" localSheetId="25">#REF!</definedName>
    <definedName name="rate" localSheetId="19">#REF!</definedName>
    <definedName name="rate" localSheetId="3">#REF!</definedName>
    <definedName name="rate" localSheetId="10">#REF!</definedName>
    <definedName name="rate" localSheetId="16">#REF!</definedName>
    <definedName name="rate" localSheetId="21">#REF!</definedName>
    <definedName name="rate" localSheetId="14">#REF!</definedName>
    <definedName name="rate" localSheetId="9">#REF!</definedName>
    <definedName name="rate" localSheetId="8">#REF!</definedName>
    <definedName name="rate" localSheetId="12">#REF!</definedName>
    <definedName name="rate" localSheetId="15">#REF!</definedName>
    <definedName name="rate" localSheetId="20">#REF!</definedName>
    <definedName name="rate" localSheetId="22">#REF!</definedName>
    <definedName name="rate" localSheetId="18">#REF!</definedName>
    <definedName name="rate" localSheetId="30">#REF!</definedName>
    <definedName name="rate">#REF!</definedName>
    <definedName name="RefFRT" localSheetId="27" hidden="1">#REF!</definedName>
    <definedName name="RefFRT" localSheetId="13" hidden="1">#REF!</definedName>
    <definedName name="RefFRT" localSheetId="7" hidden="1">#REF!</definedName>
    <definedName name="RefFRT" localSheetId="25" hidden="1">#REF!</definedName>
    <definedName name="RefFRT" localSheetId="19" hidden="1">#REF!</definedName>
    <definedName name="RefFRT" localSheetId="3" hidden="1">#REF!</definedName>
    <definedName name="RefFRT" localSheetId="10" hidden="1">#REF!</definedName>
    <definedName name="RefFRT" localSheetId="16" hidden="1">#REF!</definedName>
    <definedName name="RefFRT" localSheetId="21" hidden="1">#REF!</definedName>
    <definedName name="RefFRT" localSheetId="14" hidden="1">#REF!</definedName>
    <definedName name="RefFRT" localSheetId="9" hidden="1">#REF!</definedName>
    <definedName name="RefFRT" localSheetId="8" hidden="1">#REF!</definedName>
    <definedName name="RefFRT" localSheetId="12" hidden="1">#REF!</definedName>
    <definedName name="RefFRT" localSheetId="15" hidden="1">#REF!</definedName>
    <definedName name="RefFRT" localSheetId="20" hidden="1">#REF!</definedName>
    <definedName name="RefFRT" localSheetId="22" hidden="1">#REF!</definedName>
    <definedName name="RefFRT" localSheetId="18" hidden="1">#REF!</definedName>
    <definedName name="RefFRT" localSheetId="30" hidden="1">#REF!</definedName>
    <definedName name="RefFRT" hidden="1">#REF!</definedName>
    <definedName name="rFRT5" localSheetId="27" hidden="1">#REF!</definedName>
    <definedName name="rFRT5" localSheetId="13" hidden="1">#REF!</definedName>
    <definedName name="rFRT5" localSheetId="7" hidden="1">#REF!</definedName>
    <definedName name="rFRT5" localSheetId="25" hidden="1">#REF!</definedName>
    <definedName name="rFRT5" localSheetId="19" hidden="1">#REF!</definedName>
    <definedName name="rFRT5" localSheetId="3" hidden="1">#REF!</definedName>
    <definedName name="rFRT5" localSheetId="10" hidden="1">#REF!</definedName>
    <definedName name="rFRT5" localSheetId="16" hidden="1">#REF!</definedName>
    <definedName name="rFRT5" localSheetId="21" hidden="1">#REF!</definedName>
    <definedName name="rFRT5" localSheetId="14" hidden="1">#REF!</definedName>
    <definedName name="rFRT5" localSheetId="9" hidden="1">#REF!</definedName>
    <definedName name="rFRT5" localSheetId="8" hidden="1">#REF!</definedName>
    <definedName name="rFRT5" localSheetId="12" hidden="1">#REF!</definedName>
    <definedName name="rFRT5" localSheetId="15" hidden="1">#REF!</definedName>
    <definedName name="rFRT5" localSheetId="20" hidden="1">#REF!</definedName>
    <definedName name="rFRT5" localSheetId="22" hidden="1">#REF!</definedName>
    <definedName name="rFRT5" localSheetId="18" hidden="1">#REF!</definedName>
    <definedName name="rFRT5" localSheetId="30" hidden="1">#REF!</definedName>
    <definedName name="rFRT5" hidden="1">#REF!</definedName>
    <definedName name="rRtAn" localSheetId="11" hidden="1">[16]RtAn!$A$8:$O$293</definedName>
    <definedName name="rRtAn" hidden="1">#REF!</definedName>
    <definedName name="sanitary">#REF!</definedName>
    <definedName name="shandle">'[2]update Rate'!$E$82</definedName>
    <definedName name="sks" localSheetId="27">#REF!</definedName>
    <definedName name="sks" localSheetId="13">#REF!</definedName>
    <definedName name="sks" localSheetId="7">#REF!</definedName>
    <definedName name="sks" localSheetId="25">#REF!</definedName>
    <definedName name="sks" localSheetId="19">#REF!</definedName>
    <definedName name="sks" localSheetId="11">'[5]Rate analysis of Road'!#REF!</definedName>
    <definedName name="sks" localSheetId="3">#REF!</definedName>
    <definedName name="sks" localSheetId="10">#REF!</definedName>
    <definedName name="sks" localSheetId="16">#REF!</definedName>
    <definedName name="sks" localSheetId="21">#REF!</definedName>
    <definedName name="sks" localSheetId="14">#REF!</definedName>
    <definedName name="sks" localSheetId="9">#REF!</definedName>
    <definedName name="sks" localSheetId="8">#REF!</definedName>
    <definedName name="sks" localSheetId="12">#REF!</definedName>
    <definedName name="sks" localSheetId="15">#REF!</definedName>
    <definedName name="sks" localSheetId="20">#REF!</definedName>
    <definedName name="sks" localSheetId="22">#REF!</definedName>
    <definedName name="sks" localSheetId="18">#REF!</definedName>
    <definedName name="sks" localSheetId="30">#REF!</definedName>
    <definedName name="sks">#REF!</definedName>
    <definedName name="Snowcem" localSheetId="27">#REF!</definedName>
    <definedName name="Snowcem" localSheetId="13">#REF!</definedName>
    <definedName name="Snowcem" localSheetId="7">#REF!</definedName>
    <definedName name="Snowcem" localSheetId="25">#REF!</definedName>
    <definedName name="Snowcem" localSheetId="19">#REF!</definedName>
    <definedName name="Snowcem" localSheetId="11">'[5]Rate analysis of Road'!#REF!</definedName>
    <definedName name="Snowcem" localSheetId="3">#REF!</definedName>
    <definedName name="Snowcem" localSheetId="10">#REF!</definedName>
    <definedName name="Snowcem" localSheetId="16">#REF!</definedName>
    <definedName name="Snowcem" localSheetId="21">#REF!</definedName>
    <definedName name="Snowcem" localSheetId="14">#REF!</definedName>
    <definedName name="Snowcem" localSheetId="9">#REF!</definedName>
    <definedName name="Snowcem" localSheetId="8">#REF!</definedName>
    <definedName name="Snowcem" localSheetId="12">#REF!</definedName>
    <definedName name="Snowcem" localSheetId="15">#REF!</definedName>
    <definedName name="Snowcem" localSheetId="20">#REF!</definedName>
    <definedName name="Snowcem" localSheetId="22">#REF!</definedName>
    <definedName name="Snowcem" localSheetId="18">#REF!</definedName>
    <definedName name="Snowcem" localSheetId="30">#REF!</definedName>
    <definedName name="Snowcem">#REF!</definedName>
    <definedName name="soakpit">#REF!</definedName>
    <definedName name="stank">#REF!</definedName>
    <definedName name="summary" localSheetId="27">#REF!</definedName>
    <definedName name="summary" localSheetId="13">#REF!</definedName>
    <definedName name="summary" localSheetId="7">#REF!</definedName>
    <definedName name="summary" localSheetId="25">#REF!</definedName>
    <definedName name="summary" localSheetId="19">#REF!</definedName>
    <definedName name="summary" localSheetId="3">#REF!</definedName>
    <definedName name="summary" localSheetId="10">#REF!</definedName>
    <definedName name="summary" localSheetId="16">#REF!</definedName>
    <definedName name="summary" localSheetId="21">#REF!</definedName>
    <definedName name="summary" localSheetId="14">#REF!</definedName>
    <definedName name="summary" localSheetId="9">#REF!</definedName>
    <definedName name="summary" localSheetId="8">#REF!</definedName>
    <definedName name="summary" localSheetId="12">#REF!</definedName>
    <definedName name="summary" localSheetId="15">#REF!</definedName>
    <definedName name="summary" localSheetId="20">#REF!</definedName>
    <definedName name="summary" localSheetId="22">#REF!</definedName>
    <definedName name="summary" localSheetId="18">#REF!</definedName>
    <definedName name="summary" localSheetId="30">#REF!</definedName>
    <definedName name="summary">#REF!</definedName>
    <definedName name="tarfelt" localSheetId="27">#REF!</definedName>
    <definedName name="tarfelt" localSheetId="13">#REF!</definedName>
    <definedName name="tarfelt" localSheetId="7">#REF!</definedName>
    <definedName name="tarfelt" localSheetId="25">#REF!</definedName>
    <definedName name="tarfelt" localSheetId="19">#REF!</definedName>
    <definedName name="tarfelt" localSheetId="11">'[5]Rate analysis of Road'!#REF!</definedName>
    <definedName name="tarfelt" localSheetId="3">#REF!</definedName>
    <definedName name="tarfelt" localSheetId="10">#REF!</definedName>
    <definedName name="tarfelt" localSheetId="16">#REF!</definedName>
    <definedName name="tarfelt" localSheetId="21">#REF!</definedName>
    <definedName name="tarfelt" localSheetId="14">#REF!</definedName>
    <definedName name="tarfelt" localSheetId="9">#REF!</definedName>
    <definedName name="tarfelt" localSheetId="8">#REF!</definedName>
    <definedName name="tarfelt" localSheetId="12">#REF!</definedName>
    <definedName name="tarfelt" localSheetId="15">#REF!</definedName>
    <definedName name="tarfelt" localSheetId="20">#REF!</definedName>
    <definedName name="tarfelt" localSheetId="22">#REF!</definedName>
    <definedName name="tarfelt" localSheetId="18">#REF!</definedName>
    <definedName name="tarfelt" localSheetId="30">#REF!</definedName>
    <definedName name="tarfelt">#REF!</definedName>
    <definedName name="Tikply4">'[2]update Rate'!$E$74</definedName>
    <definedName name="tikwood4">'[2]update Rate'!#REF!</definedName>
    <definedName name="toilet">'[17]ticket counter'!$B$12:$J$198</definedName>
    <definedName name="torsteel">'[2]update Rate'!$E$44</definedName>
    <definedName name="Ttile">'[2]update Rate'!$E$42</definedName>
    <definedName name="vtg">'[18]update Rate'!$E$6</definedName>
    <definedName name="w" localSheetId="27">#REF!</definedName>
    <definedName name="w" localSheetId="13">#REF!</definedName>
    <definedName name="w" localSheetId="7">#REF!</definedName>
    <definedName name="w" localSheetId="25">#REF!</definedName>
    <definedName name="w" localSheetId="11">'[19]Rate analysis of Road'!#REF!</definedName>
    <definedName name="w" localSheetId="3">#REF!</definedName>
    <definedName name="w" localSheetId="10">#REF!</definedName>
    <definedName name="w" localSheetId="21">#REF!</definedName>
    <definedName name="w" localSheetId="14">#REF!</definedName>
    <definedName name="w" localSheetId="9">#REF!</definedName>
    <definedName name="w" localSheetId="8">#REF!</definedName>
    <definedName name="w" localSheetId="12">#REF!</definedName>
    <definedName name="w" localSheetId="15">#REF!</definedName>
    <definedName name="w" localSheetId="20">#REF!</definedName>
    <definedName name="w" localSheetId="22">#REF!</definedName>
    <definedName name="w" localSheetId="30">#REF!</definedName>
    <definedName name="w">#REF!</definedName>
    <definedName name="wtan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35" i="8" l="1"/>
  <c r="P136" i="8"/>
  <c r="P137" i="8"/>
  <c r="Q12" i="6"/>
  <c r="R31" i="6"/>
  <c r="Q36" i="6"/>
  <c r="R33" i="6"/>
  <c r="R35" i="6"/>
  <c r="R34" i="6"/>
  <c r="R32" i="6"/>
  <c r="R28" i="6"/>
  <c r="N11" i="6"/>
  <c r="X171" i="20"/>
  <c r="X172" i="20"/>
  <c r="X173" i="20"/>
  <c r="R24" i="6"/>
  <c r="R25" i="6"/>
  <c r="R26" i="6"/>
  <c r="R27" i="6"/>
  <c r="R4" i="6"/>
  <c r="R5" i="6"/>
  <c r="R6" i="6"/>
  <c r="R7" i="6"/>
  <c r="R8" i="6"/>
  <c r="R9" i="6"/>
  <c r="R10" i="6"/>
  <c r="R11" i="6"/>
  <c r="R13" i="6"/>
  <c r="R14" i="6"/>
  <c r="R15" i="6"/>
  <c r="R16" i="6"/>
  <c r="R17" i="6"/>
  <c r="R19" i="6"/>
  <c r="R20" i="6"/>
  <c r="R21" i="6"/>
  <c r="R22" i="6"/>
  <c r="R23" i="6"/>
  <c r="R18" i="6"/>
  <c r="W68" i="12"/>
  <c r="E113" i="35"/>
  <c r="E114" i="35"/>
  <c r="E115" i="35"/>
  <c r="E116" i="35"/>
  <c r="E117" i="35"/>
  <c r="E112" i="35"/>
  <c r="E66" i="35"/>
  <c r="E63" i="35"/>
  <c r="E64" i="35"/>
  <c r="E65" i="35"/>
  <c r="E62" i="35"/>
  <c r="T11" i="14"/>
  <c r="Q80" i="10"/>
  <c r="Q26" i="10"/>
  <c r="Q27" i="10"/>
  <c r="Q28" i="10"/>
  <c r="Q29" i="10"/>
  <c r="Q30" i="10"/>
  <c r="W30" i="10" s="1"/>
  <c r="Q31" i="10"/>
  <c r="Q32" i="10"/>
  <c r="Q33" i="10"/>
  <c r="Q34" i="10"/>
  <c r="W34" i="10" s="1"/>
  <c r="Q35" i="10"/>
  <c r="W35" i="10" s="1"/>
  <c r="Q36" i="10"/>
  <c r="W36" i="10" s="1"/>
  <c r="Q37" i="10"/>
  <c r="W37" i="10" s="1"/>
  <c r="Q38" i="10"/>
  <c r="W38" i="10" s="1"/>
  <c r="Q39" i="10"/>
  <c r="W39" i="10" s="1"/>
  <c r="Q40" i="10"/>
  <c r="W40" i="10" s="1"/>
  <c r="Q41" i="10"/>
  <c r="W41" i="10" s="1"/>
  <c r="Q42" i="10"/>
  <c r="Q43" i="10"/>
  <c r="Q25" i="10"/>
  <c r="T135" i="8"/>
  <c r="T10" i="6"/>
  <c r="Q206" i="20"/>
  <c r="Q207" i="20"/>
  <c r="Q208" i="20"/>
  <c r="Q209" i="20"/>
  <c r="Q210" i="20"/>
  <c r="Q205" i="20"/>
  <c r="J5" i="31"/>
  <c r="J6" i="31"/>
  <c r="J7" i="31"/>
  <c r="J8" i="31"/>
  <c r="J4" i="31"/>
  <c r="U9" i="44"/>
  <c r="U10" i="44"/>
  <c r="U11" i="44"/>
  <c r="U12" i="44"/>
  <c r="U13" i="44"/>
  <c r="U14" i="44"/>
  <c r="U15" i="44"/>
  <c r="U16" i="44"/>
  <c r="U17" i="44"/>
  <c r="U18" i="44"/>
  <c r="U19" i="44"/>
  <c r="U20" i="44"/>
  <c r="U21" i="44"/>
  <c r="U22" i="44"/>
  <c r="U23" i="44"/>
  <c r="U24" i="44"/>
  <c r="U25" i="44"/>
  <c r="U26" i="44"/>
  <c r="U8" i="44"/>
  <c r="S10" i="44"/>
  <c r="S11" i="44"/>
  <c r="S12" i="44"/>
  <c r="S13" i="44"/>
  <c r="S14" i="44"/>
  <c r="S15" i="44"/>
  <c r="S16" i="44"/>
  <c r="S17" i="44"/>
  <c r="S18" i="44"/>
  <c r="S19" i="44"/>
  <c r="S20" i="44"/>
  <c r="S21" i="44"/>
  <c r="S22" i="44"/>
  <c r="S23" i="44"/>
  <c r="S24" i="44"/>
  <c r="S25" i="44"/>
  <c r="S26" i="44"/>
  <c r="S9" i="44"/>
  <c r="Q12" i="44"/>
  <c r="Q13" i="44"/>
  <c r="Q14" i="44"/>
  <c r="Q15" i="44"/>
  <c r="Q16" i="44"/>
  <c r="Q17" i="44"/>
  <c r="Q18" i="44"/>
  <c r="Q19" i="44"/>
  <c r="Q20" i="44"/>
  <c r="Q21" i="44"/>
  <c r="Q22" i="44"/>
  <c r="Q23" i="44"/>
  <c r="Q24" i="44"/>
  <c r="Q25" i="44"/>
  <c r="Q26" i="44"/>
  <c r="Q11" i="44"/>
  <c r="O12" i="44"/>
  <c r="O13" i="44"/>
  <c r="O14" i="44"/>
  <c r="O15" i="44"/>
  <c r="O16" i="44"/>
  <c r="O17" i="44"/>
  <c r="O18" i="44"/>
  <c r="O19" i="44"/>
  <c r="O20" i="44"/>
  <c r="O21" i="44"/>
  <c r="O22" i="44"/>
  <c r="O23" i="44"/>
  <c r="O24" i="44"/>
  <c r="O25" i="44"/>
  <c r="O26" i="44"/>
  <c r="O11" i="44"/>
  <c r="M64" i="34"/>
  <c r="M65" i="34"/>
  <c r="M63" i="34"/>
  <c r="M77" i="34"/>
  <c r="M76" i="34"/>
  <c r="M68" i="34"/>
  <c r="M69" i="34"/>
  <c r="M70" i="34"/>
  <c r="M71" i="34"/>
  <c r="M72" i="34"/>
  <c r="M73" i="34"/>
  <c r="M74" i="34"/>
  <c r="M75" i="34"/>
  <c r="M67" i="34"/>
  <c r="M80" i="34"/>
  <c r="M81" i="34"/>
  <c r="M79" i="34"/>
  <c r="M91" i="34"/>
  <c r="M92" i="34"/>
  <c r="M93" i="34"/>
  <c r="M94" i="34"/>
  <c r="M95" i="34"/>
  <c r="M90" i="34"/>
  <c r="M105" i="34"/>
  <c r="M106" i="34"/>
  <c r="M107" i="34"/>
  <c r="M108" i="34"/>
  <c r="M109" i="34"/>
  <c r="M104" i="34"/>
  <c r="M98" i="34"/>
  <c r="M99" i="34"/>
  <c r="M100" i="34"/>
  <c r="M101" i="34"/>
  <c r="M102" i="34"/>
  <c r="M97" i="34"/>
  <c r="M176" i="34"/>
  <c r="M170" i="34"/>
  <c r="M171" i="34"/>
  <c r="M172" i="34"/>
  <c r="M173" i="34"/>
  <c r="M169" i="34"/>
  <c r="M167" i="34"/>
  <c r="M166" i="34"/>
  <c r="M164" i="34"/>
  <c r="M163" i="34"/>
  <c r="M154" i="34"/>
  <c r="M155" i="34"/>
  <c r="M156" i="34"/>
  <c r="M157" i="34"/>
  <c r="M158" i="34"/>
  <c r="M159" i="34"/>
  <c r="M160" i="34"/>
  <c r="M161" i="34"/>
  <c r="P153" i="34"/>
  <c r="P155" i="34"/>
  <c r="P156" i="34"/>
  <c r="P157" i="34"/>
  <c r="P154" i="34"/>
  <c r="M150" i="34"/>
  <c r="M151" i="34"/>
  <c r="M149" i="34"/>
  <c r="M144" i="34"/>
  <c r="M145" i="34"/>
  <c r="M146" i="34"/>
  <c r="M147" i="34"/>
  <c r="M143" i="34"/>
  <c r="M138" i="34"/>
  <c r="M139" i="34"/>
  <c r="M140" i="34"/>
  <c r="M141" i="34"/>
  <c r="M137" i="34"/>
  <c r="M133" i="34"/>
  <c r="M134" i="34"/>
  <c r="M135" i="34"/>
  <c r="M132" i="34"/>
  <c r="M129" i="34"/>
  <c r="M130" i="34"/>
  <c r="M128" i="34"/>
  <c r="M122" i="34"/>
  <c r="M123" i="34"/>
  <c r="M124" i="34"/>
  <c r="M125" i="34"/>
  <c r="M126" i="34"/>
  <c r="M121" i="34"/>
  <c r="M112" i="34"/>
  <c r="M113" i="34"/>
  <c r="M114" i="34"/>
  <c r="M115" i="34"/>
  <c r="M116" i="34"/>
  <c r="M117" i="34"/>
  <c r="M118" i="34"/>
  <c r="M119" i="34"/>
  <c r="M111" i="34"/>
  <c r="AF8" i="14"/>
  <c r="AF9" i="14"/>
  <c r="AF10" i="14"/>
  <c r="AF11" i="14"/>
  <c r="AF12" i="14"/>
  <c r="AF13" i="14"/>
  <c r="AF14" i="14"/>
  <c r="AF15" i="14"/>
  <c r="AF16" i="14"/>
  <c r="AF17" i="14"/>
  <c r="AF7" i="14"/>
  <c r="AB8" i="14"/>
  <c r="AB9" i="14"/>
  <c r="AB10" i="14"/>
  <c r="AB11" i="14"/>
  <c r="AB12" i="14"/>
  <c r="AB13" i="14"/>
  <c r="AB14" i="14"/>
  <c r="AB15" i="14"/>
  <c r="AB16" i="14"/>
  <c r="AB17" i="14"/>
  <c r="AB7" i="14"/>
  <c r="X10" i="14"/>
  <c r="X11" i="14"/>
  <c r="X12" i="14"/>
  <c r="X13" i="14"/>
  <c r="X14" i="14"/>
  <c r="X15" i="14"/>
  <c r="X16" i="14"/>
  <c r="X17" i="14"/>
  <c r="X9" i="14"/>
  <c r="T12" i="14"/>
  <c r="T13" i="14"/>
  <c r="T14" i="14"/>
  <c r="T15" i="14"/>
  <c r="T16" i="14"/>
  <c r="T17" i="14"/>
  <c r="E14" i="14"/>
  <c r="S14" i="14" s="1"/>
  <c r="E13" i="14"/>
  <c r="S13" i="14" s="1"/>
  <c r="U70" i="10"/>
  <c r="U72" i="10"/>
  <c r="U73" i="10"/>
  <c r="U75" i="10"/>
  <c r="U76" i="10"/>
  <c r="U77" i="10"/>
  <c r="U78" i="10"/>
  <c r="U79" i="10"/>
  <c r="U69" i="10"/>
  <c r="T53" i="9"/>
  <c r="W42" i="9"/>
  <c r="W43" i="9"/>
  <c r="W44" i="9"/>
  <c r="W45" i="9"/>
  <c r="W46" i="9"/>
  <c r="W47" i="9"/>
  <c r="W48" i="9"/>
  <c r="W49" i="9"/>
  <c r="W50" i="9"/>
  <c r="W51" i="9"/>
  <c r="W34" i="9"/>
  <c r="W35" i="9"/>
  <c r="W36" i="9"/>
  <c r="W37" i="9"/>
  <c r="W38" i="9"/>
  <c r="W39" i="9"/>
  <c r="W40" i="9"/>
  <c r="W41" i="9"/>
  <c r="W33" i="9"/>
  <c r="V35" i="9"/>
  <c r="V51" i="9"/>
  <c r="V50" i="9"/>
  <c r="V49" i="9"/>
  <c r="V48" i="9"/>
  <c r="V47" i="9"/>
  <c r="V46" i="9"/>
  <c r="V45" i="9"/>
  <c r="V44" i="9"/>
  <c r="V43" i="9"/>
  <c r="V42" i="9"/>
  <c r="V41" i="9"/>
  <c r="V40" i="9"/>
  <c r="V39" i="9"/>
  <c r="V38" i="9"/>
  <c r="V37" i="9"/>
  <c r="V36" i="9"/>
  <c r="V34" i="9"/>
  <c r="V33" i="9"/>
  <c r="P5" i="9"/>
  <c r="P6" i="9"/>
  <c r="P7" i="9"/>
  <c r="P4" i="9"/>
  <c r="R93" i="8"/>
  <c r="P31" i="8"/>
  <c r="AC69" i="12"/>
  <c r="AC68" i="12"/>
  <c r="Y69" i="12"/>
  <c r="Y68" i="12"/>
  <c r="L66" i="35"/>
  <c r="L65" i="35"/>
  <c r="L64" i="35"/>
  <c r="L63" i="35"/>
  <c r="L62" i="35"/>
  <c r="L123" i="35"/>
  <c r="L122" i="35"/>
  <c r="L112" i="35"/>
  <c r="L105" i="35"/>
  <c r="L117" i="35"/>
  <c r="L116" i="35"/>
  <c r="L115" i="35"/>
  <c r="L114" i="35"/>
  <c r="L113" i="35"/>
  <c r="L134" i="35"/>
  <c r="L133" i="35"/>
  <c r="L132" i="35"/>
  <c r="L60" i="35"/>
  <c r="L83" i="35"/>
  <c r="L153" i="35"/>
  <c r="L152" i="35"/>
  <c r="L96" i="35"/>
  <c r="L95" i="35"/>
  <c r="L94" i="35"/>
  <c r="L81" i="35"/>
  <c r="L80" i="35"/>
  <c r="L79" i="35"/>
  <c r="L78" i="35"/>
  <c r="L77" i="35"/>
  <c r="L76" i="35"/>
  <c r="L120" i="35"/>
  <c r="L119" i="35"/>
  <c r="L110" i="35"/>
  <c r="L109" i="35"/>
  <c r="L108" i="35"/>
  <c r="L107" i="35"/>
  <c r="L106" i="35"/>
  <c r="L103" i="35"/>
  <c r="L102" i="35"/>
  <c r="L101" i="35"/>
  <c r="L100" i="35"/>
  <c r="L99" i="35"/>
  <c r="L98" i="35"/>
  <c r="L85" i="35"/>
  <c r="L90" i="35"/>
  <c r="L89" i="35"/>
  <c r="L88" i="35"/>
  <c r="L87" i="35"/>
  <c r="L86" i="35"/>
  <c r="L74" i="35"/>
  <c r="L73" i="35"/>
  <c r="L72" i="35"/>
  <c r="L71" i="35"/>
  <c r="L70" i="35"/>
  <c r="L69" i="35"/>
  <c r="L58" i="35"/>
  <c r="L57" i="35"/>
  <c r="L56" i="35"/>
  <c r="L55" i="35"/>
  <c r="L54" i="35"/>
  <c r="L53" i="35"/>
  <c r="L26" i="35"/>
  <c r="L25" i="35"/>
  <c r="L33" i="35"/>
  <c r="L32" i="35"/>
  <c r="L31" i="35"/>
  <c r="L30" i="35"/>
  <c r="L29" i="35"/>
  <c r="L28" i="35"/>
  <c r="L23" i="35"/>
  <c r="L22" i="35"/>
  <c r="L21" i="35"/>
  <c r="L20" i="35"/>
  <c r="L19" i="35"/>
  <c r="L18" i="35"/>
  <c r="L16" i="35"/>
  <c r="L15" i="35"/>
  <c r="L14" i="35"/>
  <c r="L13" i="35"/>
  <c r="L12" i="35"/>
  <c r="L11" i="35"/>
  <c r="L5" i="35"/>
  <c r="L6" i="35"/>
  <c r="L7" i="35"/>
  <c r="L8" i="35"/>
  <c r="L9" i="35"/>
  <c r="L4" i="35"/>
  <c r="U203" i="8"/>
  <c r="U204" i="8"/>
  <c r="U202" i="8"/>
  <c r="P94" i="8"/>
  <c r="Q35" i="6"/>
  <c r="P30" i="9"/>
  <c r="P29" i="9"/>
  <c r="P28" i="9"/>
  <c r="P25" i="9"/>
  <c r="P26" i="9"/>
  <c r="P24" i="9"/>
  <c r="P54" i="9"/>
  <c r="P55" i="9"/>
  <c r="P56" i="9"/>
  <c r="P57" i="9"/>
  <c r="S57" i="9" s="1"/>
  <c r="P58" i="9"/>
  <c r="S58" i="9" s="1"/>
  <c r="P59" i="9"/>
  <c r="S59" i="9" s="1"/>
  <c r="P60" i="9"/>
  <c r="P61" i="9"/>
  <c r="P62" i="9"/>
  <c r="P63" i="9"/>
  <c r="P64" i="9"/>
  <c r="S64" i="9" s="1"/>
  <c r="P65" i="9"/>
  <c r="S65" i="9" s="1"/>
  <c r="P66" i="9"/>
  <c r="S66" i="9" s="1"/>
  <c r="P67" i="9"/>
  <c r="S67" i="9" s="1"/>
  <c r="P68" i="9"/>
  <c r="P69" i="9"/>
  <c r="S69" i="9" s="1"/>
  <c r="P70" i="9"/>
  <c r="P71" i="9"/>
  <c r="S71" i="9" s="1"/>
  <c r="P53" i="9"/>
  <c r="S53" i="9" s="1"/>
  <c r="P34" i="9"/>
  <c r="P35" i="9"/>
  <c r="P36" i="9"/>
  <c r="P37" i="9"/>
  <c r="S37" i="9" s="1"/>
  <c r="P38" i="9"/>
  <c r="S38" i="9" s="1"/>
  <c r="P39" i="9"/>
  <c r="S39" i="9" s="1"/>
  <c r="P40" i="9"/>
  <c r="P41" i="9"/>
  <c r="P42" i="9"/>
  <c r="P43" i="9"/>
  <c r="P44" i="9"/>
  <c r="P45" i="9"/>
  <c r="S45" i="9" s="1"/>
  <c r="P46" i="9"/>
  <c r="S46" i="9" s="1"/>
  <c r="P47" i="9"/>
  <c r="S47" i="9" s="1"/>
  <c r="P48" i="9"/>
  <c r="S48" i="9" s="1"/>
  <c r="P49" i="9"/>
  <c r="S49" i="9" s="1"/>
  <c r="P50" i="9"/>
  <c r="P51" i="9"/>
  <c r="P33" i="9"/>
  <c r="P74" i="9"/>
  <c r="P75" i="9"/>
  <c r="P76" i="9"/>
  <c r="P77" i="9"/>
  <c r="P78" i="9"/>
  <c r="P79" i="9"/>
  <c r="P80" i="9"/>
  <c r="P81" i="9"/>
  <c r="P82" i="9"/>
  <c r="P83" i="9"/>
  <c r="P84" i="9"/>
  <c r="P85" i="9"/>
  <c r="P86" i="9"/>
  <c r="P87" i="9"/>
  <c r="P88" i="9"/>
  <c r="P89" i="9"/>
  <c r="P90" i="9"/>
  <c r="P91" i="9"/>
  <c r="P73" i="9"/>
  <c r="U73" i="9"/>
  <c r="P96" i="9"/>
  <c r="P94" i="9"/>
  <c r="P98" i="9"/>
  <c r="W28" i="10"/>
  <c r="W29" i="10"/>
  <c r="W31" i="10"/>
  <c r="W32" i="10"/>
  <c r="W33" i="10"/>
  <c r="W42" i="10"/>
  <c r="W43" i="10"/>
  <c r="W25" i="10"/>
  <c r="W26" i="10"/>
  <c r="W27" i="10"/>
  <c r="V25" i="10"/>
  <c r="S36" i="9"/>
  <c r="S51" i="9"/>
  <c r="S68" i="9"/>
  <c r="S70" i="9"/>
  <c r="S63" i="9"/>
  <c r="S62" i="9"/>
  <c r="S61" i="9"/>
  <c r="S60" i="9"/>
  <c r="S56" i="9"/>
  <c r="S55" i="9"/>
  <c r="S54" i="9"/>
  <c r="S34" i="9"/>
  <c r="S35" i="9"/>
  <c r="S40" i="9"/>
  <c r="S41" i="9"/>
  <c r="S42" i="9"/>
  <c r="S43" i="9"/>
  <c r="S44" i="9"/>
  <c r="S50" i="9"/>
  <c r="S33" i="9"/>
  <c r="M57" i="34"/>
  <c r="M58" i="34"/>
  <c r="M59" i="34"/>
  <c r="M60" i="34"/>
  <c r="M61" i="34"/>
  <c r="M56" i="34"/>
  <c r="M45" i="34"/>
  <c r="M46" i="34"/>
  <c r="M47" i="34"/>
  <c r="M48" i="34"/>
  <c r="M49" i="34"/>
  <c r="M44" i="34"/>
  <c r="M51" i="34"/>
  <c r="M52" i="34"/>
  <c r="M50" i="34"/>
  <c r="M27" i="34"/>
  <c r="M28" i="34"/>
  <c r="M26" i="34"/>
  <c r="M10" i="34"/>
  <c r="M42" i="34"/>
  <c r="M43" i="34"/>
  <c r="M41" i="34"/>
  <c r="M18" i="34"/>
  <c r="M19" i="34"/>
  <c r="M20" i="34"/>
  <c r="M21" i="34"/>
  <c r="M22" i="34"/>
  <c r="M17" i="34"/>
  <c r="P210" i="8"/>
  <c r="P209" i="8"/>
  <c r="M32" i="34"/>
  <c r="M33" i="34"/>
  <c r="M36" i="34"/>
  <c r="M37" i="34"/>
  <c r="M11" i="34"/>
  <c r="M12" i="34"/>
  <c r="M13" i="34"/>
  <c r="M14" i="34"/>
  <c r="M15" i="34"/>
  <c r="M5" i="34"/>
  <c r="M6" i="34"/>
  <c r="M7" i="34"/>
  <c r="M4" i="34"/>
  <c r="M6" i="23"/>
  <c r="P200" i="8" l="1"/>
  <c r="R27" i="8"/>
  <c r="T139" i="8"/>
  <c r="A70" i="43"/>
  <c r="A71" i="43" s="1"/>
  <c r="A72" i="43" s="1"/>
  <c r="A73" i="43" s="1"/>
  <c r="A74" i="43" s="1"/>
  <c r="A75" i="43" s="1"/>
  <c r="A76" i="43" s="1"/>
  <c r="A77" i="43" s="1"/>
  <c r="A78" i="43" s="1"/>
  <c r="A79" i="43" s="1"/>
  <c r="A80" i="43" s="1"/>
  <c r="A81" i="43" s="1"/>
  <c r="A82" i="43" s="1"/>
  <c r="A49" i="43"/>
  <c r="A50" i="43" s="1"/>
  <c r="A51" i="43" s="1"/>
  <c r="A52" i="43" s="1"/>
  <c r="A53" i="43" s="1"/>
  <c r="A54" i="43" s="1"/>
  <c r="A55" i="43" s="1"/>
  <c r="J46" i="43"/>
  <c r="K46" i="43" s="1"/>
  <c r="L46" i="43" s="1"/>
  <c r="M46" i="43" s="1"/>
  <c r="N46" i="43" s="1"/>
  <c r="O46" i="43" s="1"/>
  <c r="P46" i="43" s="1"/>
  <c r="A45" i="43"/>
  <c r="A46" i="43" s="1"/>
  <c r="A47" i="43" s="1"/>
  <c r="J44" i="43"/>
  <c r="K44" i="43" s="1"/>
  <c r="L44" i="43" s="1"/>
  <c r="M44" i="43" s="1"/>
  <c r="N44" i="43" s="1"/>
  <c r="O44" i="43" s="1"/>
  <c r="P44" i="43" s="1"/>
  <c r="A44" i="43"/>
  <c r="J42" i="43"/>
  <c r="K42" i="43" s="1"/>
  <c r="L42" i="43" s="1"/>
  <c r="M42" i="43" s="1"/>
  <c r="N42" i="43" s="1"/>
  <c r="O42" i="43" s="1"/>
  <c r="P42" i="43" s="1"/>
  <c r="J41" i="43"/>
  <c r="K41" i="43" s="1"/>
  <c r="L41" i="43" s="1"/>
  <c r="M41" i="43" s="1"/>
  <c r="N41" i="43" s="1"/>
  <c r="O41" i="43" s="1"/>
  <c r="P41" i="43" s="1"/>
  <c r="J40" i="43"/>
  <c r="K40" i="43" s="1"/>
  <c r="L40" i="43" s="1"/>
  <c r="M40" i="43" s="1"/>
  <c r="N40" i="43" s="1"/>
  <c r="O40" i="43" s="1"/>
  <c r="P40" i="43" s="1"/>
  <c r="J39" i="43"/>
  <c r="K39" i="43" s="1"/>
  <c r="L39" i="43" s="1"/>
  <c r="M39" i="43" s="1"/>
  <c r="N39" i="43" s="1"/>
  <c r="O39" i="43" s="1"/>
  <c r="P39" i="43" s="1"/>
  <c r="J38" i="43"/>
  <c r="K38" i="43" s="1"/>
  <c r="L38" i="43" s="1"/>
  <c r="M38" i="43" s="1"/>
  <c r="N38" i="43" s="1"/>
  <c r="O38" i="43" s="1"/>
  <c r="P38" i="43" s="1"/>
  <c r="J37" i="43"/>
  <c r="K37" i="43" s="1"/>
  <c r="L37" i="43" s="1"/>
  <c r="M37" i="43" s="1"/>
  <c r="N37" i="43" s="1"/>
  <c r="O37" i="43" s="1"/>
  <c r="P37" i="43" s="1"/>
  <c r="J36" i="43"/>
  <c r="K36" i="43" s="1"/>
  <c r="L36" i="43" s="1"/>
  <c r="M36" i="43" s="1"/>
  <c r="N36" i="43" s="1"/>
  <c r="O36" i="43" s="1"/>
  <c r="P36" i="43" s="1"/>
  <c r="A36" i="43"/>
  <c r="A37" i="43" s="1"/>
  <c r="A38" i="43" s="1"/>
  <c r="A39" i="43" s="1"/>
  <c r="A40" i="43" s="1"/>
  <c r="A41" i="43" s="1"/>
  <c r="A42" i="43" s="1"/>
  <c r="J34" i="43"/>
  <c r="K34" i="43" s="1"/>
  <c r="L34" i="43" s="1"/>
  <c r="M34" i="43" s="1"/>
  <c r="N34" i="43" s="1"/>
  <c r="O34" i="43" s="1"/>
  <c r="P34" i="43" s="1"/>
  <c r="J33" i="43"/>
  <c r="K33" i="43" s="1"/>
  <c r="L33" i="43" s="1"/>
  <c r="M33" i="43" s="1"/>
  <c r="N33" i="43" s="1"/>
  <c r="O33" i="43" s="1"/>
  <c r="P33" i="43" s="1"/>
  <c r="A33" i="43"/>
  <c r="A34" i="43" s="1"/>
  <c r="J31" i="43"/>
  <c r="K31" i="43" s="1"/>
  <c r="L31" i="43" s="1"/>
  <c r="M31" i="43" s="1"/>
  <c r="N31" i="43" s="1"/>
  <c r="O31" i="43" s="1"/>
  <c r="P31" i="43" s="1"/>
  <c r="J30" i="43"/>
  <c r="K30" i="43" s="1"/>
  <c r="L30" i="43" s="1"/>
  <c r="M30" i="43" s="1"/>
  <c r="N30" i="43" s="1"/>
  <c r="O30" i="43" s="1"/>
  <c r="P30" i="43" s="1"/>
  <c r="J29" i="43"/>
  <c r="K29" i="43" s="1"/>
  <c r="L29" i="43" s="1"/>
  <c r="M29" i="43" s="1"/>
  <c r="N29" i="43" s="1"/>
  <c r="O29" i="43" s="1"/>
  <c r="P29" i="43" s="1"/>
  <c r="J28" i="43"/>
  <c r="K28" i="43" s="1"/>
  <c r="L28" i="43" s="1"/>
  <c r="M28" i="43" s="1"/>
  <c r="N28" i="43" s="1"/>
  <c r="O28" i="43" s="1"/>
  <c r="P28" i="43" s="1"/>
  <c r="J27" i="43"/>
  <c r="K27" i="43" s="1"/>
  <c r="L27" i="43" s="1"/>
  <c r="M27" i="43" s="1"/>
  <c r="N27" i="43" s="1"/>
  <c r="O27" i="43" s="1"/>
  <c r="P27" i="43" s="1"/>
  <c r="J26" i="43"/>
  <c r="K26" i="43" s="1"/>
  <c r="L26" i="43" s="1"/>
  <c r="M26" i="43" s="1"/>
  <c r="N26" i="43" s="1"/>
  <c r="O26" i="43" s="1"/>
  <c r="P26" i="43" s="1"/>
  <c r="J25" i="43"/>
  <c r="K25" i="43" s="1"/>
  <c r="L25" i="43" s="1"/>
  <c r="M25" i="43" s="1"/>
  <c r="N25" i="43" s="1"/>
  <c r="O25" i="43" s="1"/>
  <c r="P25" i="43" s="1"/>
  <c r="J24" i="43"/>
  <c r="K24" i="43" s="1"/>
  <c r="L24" i="43" s="1"/>
  <c r="M24" i="43" s="1"/>
  <c r="N24" i="43" s="1"/>
  <c r="O24" i="43" s="1"/>
  <c r="P24" i="43" s="1"/>
  <c r="J23" i="43"/>
  <c r="K23" i="43" s="1"/>
  <c r="L23" i="43" s="1"/>
  <c r="M23" i="43" s="1"/>
  <c r="N23" i="43" s="1"/>
  <c r="O23" i="43" s="1"/>
  <c r="P23" i="43" s="1"/>
  <c r="J22" i="43"/>
  <c r="K22" i="43" s="1"/>
  <c r="L22" i="43" s="1"/>
  <c r="M22" i="43" s="1"/>
  <c r="N22" i="43" s="1"/>
  <c r="O22" i="43" s="1"/>
  <c r="P22" i="43" s="1"/>
  <c r="J21" i="43"/>
  <c r="K21" i="43" s="1"/>
  <c r="L21" i="43" s="1"/>
  <c r="M21" i="43" s="1"/>
  <c r="N21" i="43" s="1"/>
  <c r="O21" i="43" s="1"/>
  <c r="P21" i="43" s="1"/>
  <c r="J20" i="43"/>
  <c r="K20" i="43" s="1"/>
  <c r="L20" i="43" s="1"/>
  <c r="M20" i="43" s="1"/>
  <c r="N20" i="43" s="1"/>
  <c r="O20" i="43" s="1"/>
  <c r="P20" i="43" s="1"/>
  <c r="A20" i="43"/>
  <c r="A21" i="43" s="1"/>
  <c r="A22" i="43" s="1"/>
  <c r="A23" i="43" s="1"/>
  <c r="A24" i="43" s="1"/>
  <c r="A25" i="43" s="1"/>
  <c r="A26" i="43" s="1"/>
  <c r="A27" i="43" s="1"/>
  <c r="A28" i="43" s="1"/>
  <c r="A29" i="43" s="1"/>
  <c r="A30" i="43" s="1"/>
  <c r="A31" i="43" s="1"/>
  <c r="K12" i="43"/>
  <c r="L12" i="43" s="1"/>
  <c r="M12" i="43" s="1"/>
  <c r="N12" i="43" s="1"/>
  <c r="O12" i="43" s="1"/>
  <c r="P12" i="43" s="1"/>
  <c r="J12" i="43"/>
  <c r="J11" i="43"/>
  <c r="K11" i="43" s="1"/>
  <c r="L11" i="43" s="1"/>
  <c r="M11" i="43" s="1"/>
  <c r="N11" i="43" s="1"/>
  <c r="O11" i="43" s="1"/>
  <c r="P11" i="43" s="1"/>
  <c r="K10" i="43"/>
  <c r="L10" i="43" s="1"/>
  <c r="M10" i="43" s="1"/>
  <c r="N10" i="43" s="1"/>
  <c r="O10" i="43" s="1"/>
  <c r="P10" i="43" s="1"/>
  <c r="J10" i="43"/>
  <c r="J9" i="43"/>
  <c r="K9" i="43" s="1"/>
  <c r="L9" i="43" s="1"/>
  <c r="M9" i="43" s="1"/>
  <c r="N9" i="43" s="1"/>
  <c r="O9" i="43" s="1"/>
  <c r="P9" i="43" s="1"/>
  <c r="K8" i="43"/>
  <c r="L8" i="43" s="1"/>
  <c r="M8" i="43" s="1"/>
  <c r="N8" i="43" s="1"/>
  <c r="O8" i="43" s="1"/>
  <c r="P8" i="43" s="1"/>
  <c r="J8" i="43"/>
  <c r="J7" i="43"/>
  <c r="K7" i="43" s="1"/>
  <c r="L7" i="43" s="1"/>
  <c r="M7" i="43" s="1"/>
  <c r="N7" i="43" s="1"/>
  <c r="O7" i="43" s="1"/>
  <c r="P7" i="43" s="1"/>
  <c r="K6" i="43"/>
  <c r="L6" i="43" s="1"/>
  <c r="M6" i="43" s="1"/>
  <c r="N6" i="43" s="1"/>
  <c r="O6" i="43" s="1"/>
  <c r="P6" i="43" s="1"/>
  <c r="J6" i="43"/>
  <c r="J5" i="43"/>
  <c r="K5" i="43" s="1"/>
  <c r="L5" i="43" s="1"/>
  <c r="M5" i="43" s="1"/>
  <c r="N5" i="43" s="1"/>
  <c r="O5" i="43" s="1"/>
  <c r="P5" i="43" s="1"/>
  <c r="K4" i="43"/>
  <c r="L4" i="43" s="1"/>
  <c r="M4" i="43" s="1"/>
  <c r="N4" i="43" s="1"/>
  <c r="O4" i="43" s="1"/>
  <c r="P4" i="43" s="1"/>
  <c r="J4" i="43"/>
  <c r="A4" i="43"/>
  <c r="A5" i="43" s="1"/>
  <c r="A6" i="43" s="1"/>
  <c r="A7" i="43" s="1"/>
  <c r="A8" i="43" s="1"/>
  <c r="A9" i="43" s="1"/>
  <c r="A10" i="43" s="1"/>
  <c r="A11" i="43" s="1"/>
  <c r="A12" i="43" s="1"/>
  <c r="A13" i="43" s="1"/>
  <c r="A14" i="43" s="1"/>
  <c r="A15" i="43" s="1"/>
  <c r="A16" i="43" s="1"/>
  <c r="A17" i="43" s="1"/>
  <c r="A18" i="43" s="1"/>
  <c r="J464" i="42"/>
  <c r="K464" i="42" s="1"/>
  <c r="L464" i="42" s="1"/>
  <c r="M464" i="42" s="1"/>
  <c r="N464" i="42" s="1"/>
  <c r="O464" i="42" s="1"/>
  <c r="P464" i="42" s="1"/>
  <c r="K463" i="42"/>
  <c r="L463" i="42" s="1"/>
  <c r="M463" i="42" s="1"/>
  <c r="N463" i="42" s="1"/>
  <c r="O463" i="42" s="1"/>
  <c r="P463" i="42" s="1"/>
  <c r="J463" i="42"/>
  <c r="N462" i="42"/>
  <c r="O462" i="42" s="1"/>
  <c r="P462" i="42" s="1"/>
  <c r="J462" i="42"/>
  <c r="K462" i="42" s="1"/>
  <c r="L462" i="42" s="1"/>
  <c r="M462" i="42" s="1"/>
  <c r="K461" i="42"/>
  <c r="L461" i="42" s="1"/>
  <c r="M461" i="42" s="1"/>
  <c r="N461" i="42" s="1"/>
  <c r="O461" i="42" s="1"/>
  <c r="P461" i="42" s="1"/>
  <c r="J461" i="42"/>
  <c r="N460" i="42"/>
  <c r="O460" i="42" s="1"/>
  <c r="P460" i="42" s="1"/>
  <c r="J460" i="42"/>
  <c r="K460" i="42" s="1"/>
  <c r="L460" i="42" s="1"/>
  <c r="M460" i="42" s="1"/>
  <c r="A460" i="42"/>
  <c r="A461" i="42" s="1"/>
  <c r="A462" i="42" s="1"/>
  <c r="A463" i="42" s="1"/>
  <c r="K459" i="42"/>
  <c r="L459" i="42" s="1"/>
  <c r="M459" i="42" s="1"/>
  <c r="N459" i="42" s="1"/>
  <c r="O459" i="42" s="1"/>
  <c r="P459" i="42" s="1"/>
  <c r="J459" i="42"/>
  <c r="N458" i="42"/>
  <c r="O458" i="42" s="1"/>
  <c r="P458" i="42" s="1"/>
  <c r="J458" i="42"/>
  <c r="K458" i="42" s="1"/>
  <c r="L458" i="42" s="1"/>
  <c r="M458" i="42" s="1"/>
  <c r="L457" i="42"/>
  <c r="M457" i="42" s="1"/>
  <c r="N457" i="42" s="1"/>
  <c r="O457" i="42" s="1"/>
  <c r="P457" i="42" s="1"/>
  <c r="K457" i="42"/>
  <c r="J457" i="42"/>
  <c r="A457" i="42"/>
  <c r="A458" i="42" s="1"/>
  <c r="A459" i="42" s="1"/>
  <c r="P456" i="42"/>
  <c r="N456" i="42"/>
  <c r="O456" i="42" s="1"/>
  <c r="J456" i="42"/>
  <c r="K456" i="42" s="1"/>
  <c r="L456" i="42" s="1"/>
  <c r="M456" i="42" s="1"/>
  <c r="A456" i="42"/>
  <c r="J455" i="42"/>
  <c r="K455" i="42" s="1"/>
  <c r="L455" i="42" s="1"/>
  <c r="M455" i="42" s="1"/>
  <c r="N455" i="42" s="1"/>
  <c r="O455" i="42" s="1"/>
  <c r="P455" i="42" s="1"/>
  <c r="A455" i="42"/>
  <c r="P453" i="42"/>
  <c r="N453" i="42"/>
  <c r="O453" i="42" s="1"/>
  <c r="J453" i="42"/>
  <c r="K453" i="42" s="1"/>
  <c r="L453" i="42" s="1"/>
  <c r="M453" i="42" s="1"/>
  <c r="K452" i="42"/>
  <c r="L452" i="42" s="1"/>
  <c r="M452" i="42" s="1"/>
  <c r="N452" i="42" s="1"/>
  <c r="O452" i="42" s="1"/>
  <c r="P452" i="42" s="1"/>
  <c r="J452" i="42"/>
  <c r="N451" i="42"/>
  <c r="O451" i="42" s="1"/>
  <c r="P451" i="42" s="1"/>
  <c r="J451" i="42"/>
  <c r="K451" i="42" s="1"/>
  <c r="L451" i="42" s="1"/>
  <c r="M451" i="42" s="1"/>
  <c r="L450" i="42"/>
  <c r="M450" i="42" s="1"/>
  <c r="N450" i="42" s="1"/>
  <c r="O450" i="42" s="1"/>
  <c r="P450" i="42" s="1"/>
  <c r="K450" i="42"/>
  <c r="J450" i="42"/>
  <c r="A450" i="42"/>
  <c r="A451" i="42" s="1"/>
  <c r="A452" i="42" s="1"/>
  <c r="A453" i="42" s="1"/>
  <c r="N449" i="42"/>
  <c r="O449" i="42" s="1"/>
  <c r="P449" i="42" s="1"/>
  <c r="J449" i="42"/>
  <c r="K449" i="42" s="1"/>
  <c r="L449" i="42" s="1"/>
  <c r="M449" i="42" s="1"/>
  <c r="L448" i="42"/>
  <c r="M448" i="42" s="1"/>
  <c r="N448" i="42" s="1"/>
  <c r="O448" i="42" s="1"/>
  <c r="P448" i="42" s="1"/>
  <c r="K448" i="42"/>
  <c r="J448" i="42"/>
  <c r="P447" i="42"/>
  <c r="J447" i="42"/>
  <c r="K447" i="42" s="1"/>
  <c r="L447" i="42" s="1"/>
  <c r="M447" i="42" s="1"/>
  <c r="N447" i="42" s="1"/>
  <c r="O447" i="42" s="1"/>
  <c r="L446" i="42"/>
  <c r="M446" i="42" s="1"/>
  <c r="N446" i="42" s="1"/>
  <c r="O446" i="42" s="1"/>
  <c r="P446" i="42" s="1"/>
  <c r="J446" i="42"/>
  <c r="K446" i="42" s="1"/>
  <c r="P445" i="42"/>
  <c r="J445" i="42"/>
  <c r="K445" i="42" s="1"/>
  <c r="L445" i="42" s="1"/>
  <c r="M445" i="42" s="1"/>
  <c r="N445" i="42" s="1"/>
  <c r="O445" i="42" s="1"/>
  <c r="A445" i="42"/>
  <c r="A446" i="42" s="1"/>
  <c r="A447" i="42" s="1"/>
  <c r="A448" i="42" s="1"/>
  <c r="A449" i="42" s="1"/>
  <c r="M444" i="42"/>
  <c r="N444" i="42" s="1"/>
  <c r="O444" i="42" s="1"/>
  <c r="P444" i="42" s="1"/>
  <c r="J444" i="42"/>
  <c r="K444" i="42" s="1"/>
  <c r="L444" i="42" s="1"/>
  <c r="A444" i="42"/>
  <c r="L443" i="42"/>
  <c r="M443" i="42" s="1"/>
  <c r="N443" i="42" s="1"/>
  <c r="O443" i="42" s="1"/>
  <c r="P443" i="42" s="1"/>
  <c r="J443" i="42"/>
  <c r="K443" i="42" s="1"/>
  <c r="J442" i="42"/>
  <c r="K442" i="42" s="1"/>
  <c r="L442" i="42" s="1"/>
  <c r="M442" i="42" s="1"/>
  <c r="N442" i="42" s="1"/>
  <c r="O442" i="42" s="1"/>
  <c r="P442" i="42" s="1"/>
  <c r="J441" i="42"/>
  <c r="K441" i="42" s="1"/>
  <c r="L441" i="42" s="1"/>
  <c r="M441" i="42" s="1"/>
  <c r="N441" i="42" s="1"/>
  <c r="O441" i="42" s="1"/>
  <c r="P441" i="42" s="1"/>
  <c r="A441" i="42"/>
  <c r="A442" i="42" s="1"/>
  <c r="A443" i="42" s="1"/>
  <c r="K439" i="42"/>
  <c r="L439" i="42" s="1"/>
  <c r="M439" i="42" s="1"/>
  <c r="N439" i="42" s="1"/>
  <c r="O439" i="42" s="1"/>
  <c r="P439" i="42" s="1"/>
  <c r="J439" i="42"/>
  <c r="N438" i="42"/>
  <c r="O438" i="42" s="1"/>
  <c r="P438" i="42" s="1"/>
  <c r="J438" i="42"/>
  <c r="K438" i="42" s="1"/>
  <c r="L438" i="42" s="1"/>
  <c r="M438" i="42" s="1"/>
  <c r="J437" i="42"/>
  <c r="K437" i="42" s="1"/>
  <c r="L437" i="42" s="1"/>
  <c r="M437" i="42" s="1"/>
  <c r="N437" i="42" s="1"/>
  <c r="O437" i="42" s="1"/>
  <c r="P437" i="42" s="1"/>
  <c r="P436" i="42"/>
  <c r="L436" i="42"/>
  <c r="M436" i="42" s="1"/>
  <c r="N436" i="42" s="1"/>
  <c r="O436" i="42" s="1"/>
  <c r="J436" i="42"/>
  <c r="K436" i="42" s="1"/>
  <c r="J435" i="42"/>
  <c r="K435" i="42" s="1"/>
  <c r="L435" i="42" s="1"/>
  <c r="M435" i="42" s="1"/>
  <c r="N435" i="42" s="1"/>
  <c r="O435" i="42" s="1"/>
  <c r="P435" i="42" s="1"/>
  <c r="J434" i="42"/>
  <c r="K434" i="42" s="1"/>
  <c r="L434" i="42" s="1"/>
  <c r="M434" i="42" s="1"/>
  <c r="N434" i="42" s="1"/>
  <c r="O434" i="42" s="1"/>
  <c r="P434" i="42" s="1"/>
  <c r="P433" i="42"/>
  <c r="J433" i="42"/>
  <c r="K433" i="42" s="1"/>
  <c r="L433" i="42" s="1"/>
  <c r="M433" i="42" s="1"/>
  <c r="N433" i="42" s="1"/>
  <c r="O433" i="42" s="1"/>
  <c r="L432" i="42"/>
  <c r="M432" i="42" s="1"/>
  <c r="N432" i="42" s="1"/>
  <c r="O432" i="42" s="1"/>
  <c r="P432" i="42" s="1"/>
  <c r="J432" i="42"/>
  <c r="K432" i="42" s="1"/>
  <c r="K431" i="42"/>
  <c r="L431" i="42" s="1"/>
  <c r="M431" i="42" s="1"/>
  <c r="N431" i="42" s="1"/>
  <c r="O431" i="42" s="1"/>
  <c r="P431" i="42" s="1"/>
  <c r="J431" i="42"/>
  <c r="L430" i="42"/>
  <c r="M430" i="42" s="1"/>
  <c r="N430" i="42" s="1"/>
  <c r="O430" i="42" s="1"/>
  <c r="P430" i="42" s="1"/>
  <c r="J430" i="42"/>
  <c r="K430" i="42" s="1"/>
  <c r="A430" i="42"/>
  <c r="A431" i="42" s="1"/>
  <c r="A432" i="42" s="1"/>
  <c r="A433" i="42" s="1"/>
  <c r="A434" i="42" s="1"/>
  <c r="A435" i="42" s="1"/>
  <c r="A436" i="42" s="1"/>
  <c r="A437" i="42" s="1"/>
  <c r="A438" i="42" s="1"/>
  <c r="A439" i="42" s="1"/>
  <c r="J429" i="42"/>
  <c r="K429" i="42" s="1"/>
  <c r="L429" i="42" s="1"/>
  <c r="M429" i="42" s="1"/>
  <c r="N429" i="42" s="1"/>
  <c r="O429" i="42" s="1"/>
  <c r="P429" i="42" s="1"/>
  <c r="P428" i="42"/>
  <c r="J428" i="42"/>
  <c r="K428" i="42" s="1"/>
  <c r="L428" i="42" s="1"/>
  <c r="M428" i="42" s="1"/>
  <c r="N428" i="42" s="1"/>
  <c r="O428" i="42" s="1"/>
  <c r="O427" i="42"/>
  <c r="P427" i="42" s="1"/>
  <c r="K427" i="42"/>
  <c r="L427" i="42" s="1"/>
  <c r="M427" i="42" s="1"/>
  <c r="N427" i="42" s="1"/>
  <c r="J427" i="42"/>
  <c r="A427" i="42"/>
  <c r="A428" i="42" s="1"/>
  <c r="A429" i="42" s="1"/>
  <c r="N426" i="42"/>
  <c r="O426" i="42" s="1"/>
  <c r="P426" i="42" s="1"/>
  <c r="J426" i="42"/>
  <c r="K426" i="42" s="1"/>
  <c r="L426" i="42" s="1"/>
  <c r="M426" i="42" s="1"/>
  <c r="A426" i="42"/>
  <c r="O424" i="42"/>
  <c r="P424" i="42" s="1"/>
  <c r="J424" i="42"/>
  <c r="K424" i="42" s="1"/>
  <c r="L424" i="42" s="1"/>
  <c r="M424" i="42" s="1"/>
  <c r="N424" i="42" s="1"/>
  <c r="N423" i="42"/>
  <c r="O423" i="42" s="1"/>
  <c r="P423" i="42" s="1"/>
  <c r="L423" i="42"/>
  <c r="M423" i="42" s="1"/>
  <c r="J423" i="42"/>
  <c r="K423" i="42" s="1"/>
  <c r="K422" i="42"/>
  <c r="L422" i="42" s="1"/>
  <c r="M422" i="42" s="1"/>
  <c r="N422" i="42" s="1"/>
  <c r="O422" i="42" s="1"/>
  <c r="P422" i="42" s="1"/>
  <c r="J422" i="42"/>
  <c r="J421" i="42"/>
  <c r="K421" i="42" s="1"/>
  <c r="L421" i="42" s="1"/>
  <c r="M421" i="42" s="1"/>
  <c r="N421" i="42" s="1"/>
  <c r="O421" i="42" s="1"/>
  <c r="P421" i="42" s="1"/>
  <c r="J420" i="42"/>
  <c r="K420" i="42" s="1"/>
  <c r="L420" i="42" s="1"/>
  <c r="M420" i="42" s="1"/>
  <c r="N420" i="42" s="1"/>
  <c r="O420" i="42" s="1"/>
  <c r="P420" i="42" s="1"/>
  <c r="L419" i="42"/>
  <c r="M419" i="42" s="1"/>
  <c r="N419" i="42" s="1"/>
  <c r="O419" i="42" s="1"/>
  <c r="P419" i="42" s="1"/>
  <c r="J419" i="42"/>
  <c r="K419" i="42" s="1"/>
  <c r="O418" i="42"/>
  <c r="P418" i="42" s="1"/>
  <c r="M418" i="42"/>
  <c r="N418" i="42" s="1"/>
  <c r="K418" i="42"/>
  <c r="L418" i="42" s="1"/>
  <c r="J418" i="42"/>
  <c r="J417" i="42"/>
  <c r="K417" i="42" s="1"/>
  <c r="L417" i="42" s="1"/>
  <c r="M417" i="42" s="1"/>
  <c r="N417" i="42" s="1"/>
  <c r="O417" i="42" s="1"/>
  <c r="P417" i="42" s="1"/>
  <c r="P416" i="42"/>
  <c r="J416" i="42"/>
  <c r="K416" i="42" s="1"/>
  <c r="L416" i="42" s="1"/>
  <c r="M416" i="42" s="1"/>
  <c r="N416" i="42" s="1"/>
  <c r="O416" i="42" s="1"/>
  <c r="L415" i="42"/>
  <c r="M415" i="42" s="1"/>
  <c r="N415" i="42" s="1"/>
  <c r="O415" i="42" s="1"/>
  <c r="P415" i="42" s="1"/>
  <c r="J415" i="42"/>
  <c r="K415" i="42" s="1"/>
  <c r="N414" i="42"/>
  <c r="O414" i="42" s="1"/>
  <c r="P414" i="42" s="1"/>
  <c r="K414" i="42"/>
  <c r="L414" i="42" s="1"/>
  <c r="M414" i="42" s="1"/>
  <c r="J414" i="42"/>
  <c r="J413" i="42"/>
  <c r="K413" i="42" s="1"/>
  <c r="L413" i="42" s="1"/>
  <c r="M413" i="42" s="1"/>
  <c r="N413" i="42" s="1"/>
  <c r="O413" i="42" s="1"/>
  <c r="P413" i="42" s="1"/>
  <c r="K412" i="42"/>
  <c r="L412" i="42" s="1"/>
  <c r="M412" i="42" s="1"/>
  <c r="N412" i="42" s="1"/>
  <c r="O412" i="42" s="1"/>
  <c r="P412" i="42" s="1"/>
  <c r="J412" i="42"/>
  <c r="J411" i="42"/>
  <c r="K411" i="42" s="1"/>
  <c r="L411" i="42" s="1"/>
  <c r="M411" i="42" s="1"/>
  <c r="N411" i="42" s="1"/>
  <c r="O411" i="42" s="1"/>
  <c r="P411" i="42" s="1"/>
  <c r="J410" i="42"/>
  <c r="K410" i="42" s="1"/>
  <c r="L410" i="42" s="1"/>
  <c r="M410" i="42" s="1"/>
  <c r="N410" i="42" s="1"/>
  <c r="O410" i="42" s="1"/>
  <c r="P410" i="42" s="1"/>
  <c r="J409" i="42"/>
  <c r="K409" i="42" s="1"/>
  <c r="L409" i="42" s="1"/>
  <c r="M409" i="42" s="1"/>
  <c r="N409" i="42" s="1"/>
  <c r="O409" i="42" s="1"/>
  <c r="P409" i="42" s="1"/>
  <c r="L408" i="42"/>
  <c r="M408" i="42" s="1"/>
  <c r="N408" i="42" s="1"/>
  <c r="O408" i="42" s="1"/>
  <c r="P408" i="42" s="1"/>
  <c r="J408" i="42"/>
  <c r="K408" i="42" s="1"/>
  <c r="L407" i="42"/>
  <c r="M407" i="42" s="1"/>
  <c r="N407" i="42" s="1"/>
  <c r="O407" i="42" s="1"/>
  <c r="P407" i="42" s="1"/>
  <c r="J407" i="42"/>
  <c r="K407" i="42" s="1"/>
  <c r="K406" i="42"/>
  <c r="L406" i="42" s="1"/>
  <c r="M406" i="42" s="1"/>
  <c r="N406" i="42" s="1"/>
  <c r="O406" i="42" s="1"/>
  <c r="P406" i="42" s="1"/>
  <c r="J406" i="42"/>
  <c r="N405" i="42"/>
  <c r="O405" i="42" s="1"/>
  <c r="P405" i="42" s="1"/>
  <c r="J405" i="42"/>
  <c r="K405" i="42" s="1"/>
  <c r="L405" i="42" s="1"/>
  <c r="M405" i="42" s="1"/>
  <c r="N404" i="42"/>
  <c r="O404" i="42" s="1"/>
  <c r="P404" i="42" s="1"/>
  <c r="M404" i="42"/>
  <c r="J404" i="42"/>
  <c r="K404" i="42" s="1"/>
  <c r="L404" i="42" s="1"/>
  <c r="P403" i="42"/>
  <c r="L403" i="42"/>
  <c r="M403" i="42" s="1"/>
  <c r="N403" i="42" s="1"/>
  <c r="O403" i="42" s="1"/>
  <c r="J403" i="42"/>
  <c r="K403" i="42" s="1"/>
  <c r="K402" i="42"/>
  <c r="L402" i="42" s="1"/>
  <c r="M402" i="42" s="1"/>
  <c r="N402" i="42" s="1"/>
  <c r="O402" i="42" s="1"/>
  <c r="P402" i="42" s="1"/>
  <c r="J402" i="42"/>
  <c r="L401" i="42"/>
  <c r="M401" i="42" s="1"/>
  <c r="N401" i="42" s="1"/>
  <c r="O401" i="42" s="1"/>
  <c r="P401" i="42" s="1"/>
  <c r="J401" i="42"/>
  <c r="K401" i="42" s="1"/>
  <c r="N400" i="42"/>
  <c r="O400" i="42" s="1"/>
  <c r="P400" i="42" s="1"/>
  <c r="K400" i="42"/>
  <c r="L400" i="42" s="1"/>
  <c r="M400" i="42" s="1"/>
  <c r="J400" i="42"/>
  <c r="L399" i="42"/>
  <c r="M399" i="42" s="1"/>
  <c r="N399" i="42" s="1"/>
  <c r="O399" i="42" s="1"/>
  <c r="P399" i="42" s="1"/>
  <c r="J399" i="42"/>
  <c r="K399" i="42" s="1"/>
  <c r="K398" i="42"/>
  <c r="L398" i="42" s="1"/>
  <c r="M398" i="42" s="1"/>
  <c r="N398" i="42" s="1"/>
  <c r="O398" i="42" s="1"/>
  <c r="P398" i="42" s="1"/>
  <c r="J398" i="42"/>
  <c r="L397" i="42"/>
  <c r="M397" i="42" s="1"/>
  <c r="N397" i="42" s="1"/>
  <c r="O397" i="42" s="1"/>
  <c r="P397" i="42" s="1"/>
  <c r="J397" i="42"/>
  <c r="K397" i="42" s="1"/>
  <c r="A397" i="42"/>
  <c r="A398" i="42" s="1"/>
  <c r="A399" i="42" s="1"/>
  <c r="A400" i="42" s="1"/>
  <c r="A401" i="42" s="1"/>
  <c r="A402" i="42" s="1"/>
  <c r="A403" i="42" s="1"/>
  <c r="A404" i="42" s="1"/>
  <c r="A405" i="42" s="1"/>
  <c r="A406" i="42" s="1"/>
  <c r="A407" i="42" s="1"/>
  <c r="A408" i="42" s="1"/>
  <c r="A409" i="42" s="1"/>
  <c r="A410" i="42" s="1"/>
  <c r="A411" i="42" s="1"/>
  <c r="A412" i="42" s="1"/>
  <c r="A413" i="42" s="1"/>
  <c r="A414" i="42" s="1"/>
  <c r="A415" i="42" s="1"/>
  <c r="A416" i="42" s="1"/>
  <c r="A417" i="42" s="1"/>
  <c r="A418" i="42" s="1"/>
  <c r="A419" i="42" s="1"/>
  <c r="A420" i="42" s="1"/>
  <c r="A421" i="42" s="1"/>
  <c r="A422" i="42" s="1"/>
  <c r="A423" i="42" s="1"/>
  <c r="A424" i="42" s="1"/>
  <c r="M396" i="42"/>
  <c r="N396" i="42" s="1"/>
  <c r="O396" i="42" s="1"/>
  <c r="P396" i="42" s="1"/>
  <c r="L396" i="42"/>
  <c r="J396" i="42"/>
  <c r="K396" i="42" s="1"/>
  <c r="J395" i="42"/>
  <c r="K395" i="42" s="1"/>
  <c r="L395" i="42" s="1"/>
  <c r="M395" i="42" s="1"/>
  <c r="N395" i="42" s="1"/>
  <c r="O395" i="42" s="1"/>
  <c r="P395" i="42" s="1"/>
  <c r="J394" i="42"/>
  <c r="K394" i="42" s="1"/>
  <c r="L394" i="42" s="1"/>
  <c r="M394" i="42" s="1"/>
  <c r="N394" i="42" s="1"/>
  <c r="O394" i="42" s="1"/>
  <c r="P394" i="42" s="1"/>
  <c r="N393" i="42"/>
  <c r="O393" i="42" s="1"/>
  <c r="P393" i="42" s="1"/>
  <c r="J393" i="42"/>
  <c r="K393" i="42" s="1"/>
  <c r="L393" i="42" s="1"/>
  <c r="M393" i="42" s="1"/>
  <c r="J392" i="42"/>
  <c r="K392" i="42" s="1"/>
  <c r="L392" i="42" s="1"/>
  <c r="M392" i="42" s="1"/>
  <c r="N392" i="42" s="1"/>
  <c r="O392" i="42" s="1"/>
  <c r="P392" i="42" s="1"/>
  <c r="N391" i="42"/>
  <c r="O391" i="42" s="1"/>
  <c r="P391" i="42" s="1"/>
  <c r="L391" i="42"/>
  <c r="M391" i="42" s="1"/>
  <c r="J391" i="42"/>
  <c r="K391" i="42" s="1"/>
  <c r="L390" i="42"/>
  <c r="M390" i="42" s="1"/>
  <c r="N390" i="42" s="1"/>
  <c r="O390" i="42" s="1"/>
  <c r="P390" i="42" s="1"/>
  <c r="K390" i="42"/>
  <c r="J390" i="42"/>
  <c r="J389" i="42"/>
  <c r="K389" i="42" s="1"/>
  <c r="L389" i="42" s="1"/>
  <c r="M389" i="42" s="1"/>
  <c r="N389" i="42" s="1"/>
  <c r="O389" i="42" s="1"/>
  <c r="P389" i="42" s="1"/>
  <c r="N388" i="42"/>
  <c r="O388" i="42" s="1"/>
  <c r="P388" i="42" s="1"/>
  <c r="J388" i="42"/>
  <c r="K388" i="42" s="1"/>
  <c r="L388" i="42" s="1"/>
  <c r="M388" i="42" s="1"/>
  <c r="N387" i="42"/>
  <c r="O387" i="42" s="1"/>
  <c r="P387" i="42" s="1"/>
  <c r="J387" i="42"/>
  <c r="K387" i="42" s="1"/>
  <c r="L387" i="42" s="1"/>
  <c r="M387" i="42" s="1"/>
  <c r="K386" i="42"/>
  <c r="L386" i="42" s="1"/>
  <c r="M386" i="42" s="1"/>
  <c r="N386" i="42" s="1"/>
  <c r="O386" i="42" s="1"/>
  <c r="P386" i="42" s="1"/>
  <c r="J386" i="42"/>
  <c r="L385" i="42"/>
  <c r="M385" i="42" s="1"/>
  <c r="N385" i="42" s="1"/>
  <c r="O385" i="42" s="1"/>
  <c r="P385" i="42" s="1"/>
  <c r="J385" i="42"/>
  <c r="K385" i="42" s="1"/>
  <c r="L384" i="42"/>
  <c r="M384" i="42" s="1"/>
  <c r="N384" i="42" s="1"/>
  <c r="O384" i="42" s="1"/>
  <c r="P384" i="42" s="1"/>
  <c r="J384" i="42"/>
  <c r="K384" i="42" s="1"/>
  <c r="P383" i="42"/>
  <c r="L383" i="42"/>
  <c r="M383" i="42" s="1"/>
  <c r="N383" i="42" s="1"/>
  <c r="O383" i="42" s="1"/>
  <c r="J383" i="42"/>
  <c r="K383" i="42" s="1"/>
  <c r="K382" i="42"/>
  <c r="L382" i="42" s="1"/>
  <c r="M382" i="42" s="1"/>
  <c r="N382" i="42" s="1"/>
  <c r="O382" i="42" s="1"/>
  <c r="P382" i="42" s="1"/>
  <c r="J382" i="42"/>
  <c r="J381" i="42"/>
  <c r="K381" i="42" s="1"/>
  <c r="L381" i="42" s="1"/>
  <c r="M381" i="42" s="1"/>
  <c r="N381" i="42" s="1"/>
  <c r="O381" i="42" s="1"/>
  <c r="P381" i="42" s="1"/>
  <c r="K380" i="42"/>
  <c r="L380" i="42" s="1"/>
  <c r="M380" i="42" s="1"/>
  <c r="N380" i="42" s="1"/>
  <c r="O380" i="42" s="1"/>
  <c r="P380" i="42" s="1"/>
  <c r="J380" i="42"/>
  <c r="A380" i="42"/>
  <c r="A381" i="42" s="1"/>
  <c r="A382" i="42" s="1"/>
  <c r="A383" i="42" s="1"/>
  <c r="A384" i="42" s="1"/>
  <c r="A385" i="42" s="1"/>
  <c r="A386" i="42" s="1"/>
  <c r="A387" i="42" s="1"/>
  <c r="A388" i="42" s="1"/>
  <c r="A389" i="42" s="1"/>
  <c r="A390" i="42" s="1"/>
  <c r="A391" i="42" s="1"/>
  <c r="A392" i="42" s="1"/>
  <c r="A393" i="42" s="1"/>
  <c r="A394" i="42" s="1"/>
  <c r="A395" i="42" s="1"/>
  <c r="A396" i="42" s="1"/>
  <c r="J378" i="42"/>
  <c r="K378" i="42" s="1"/>
  <c r="L378" i="42" s="1"/>
  <c r="M378" i="42" s="1"/>
  <c r="N378" i="42" s="1"/>
  <c r="O378" i="42" s="1"/>
  <c r="P378" i="42" s="1"/>
  <c r="O377" i="42"/>
  <c r="P377" i="42" s="1"/>
  <c r="J377" i="42"/>
  <c r="K377" i="42" s="1"/>
  <c r="L377" i="42" s="1"/>
  <c r="M377" i="42" s="1"/>
  <c r="N377" i="42" s="1"/>
  <c r="J376" i="42"/>
  <c r="K376" i="42" s="1"/>
  <c r="L376" i="42" s="1"/>
  <c r="M376" i="42" s="1"/>
  <c r="N376" i="42" s="1"/>
  <c r="O376" i="42" s="1"/>
  <c r="P376" i="42" s="1"/>
  <c r="J375" i="42"/>
  <c r="K375" i="42" s="1"/>
  <c r="L375" i="42" s="1"/>
  <c r="M375" i="42" s="1"/>
  <c r="N375" i="42" s="1"/>
  <c r="O375" i="42" s="1"/>
  <c r="P375" i="42" s="1"/>
  <c r="N374" i="42"/>
  <c r="O374" i="42" s="1"/>
  <c r="P374" i="42" s="1"/>
  <c r="L374" i="42"/>
  <c r="M374" i="42" s="1"/>
  <c r="K374" i="42"/>
  <c r="J374" i="42"/>
  <c r="L373" i="42"/>
  <c r="M373" i="42" s="1"/>
  <c r="N373" i="42" s="1"/>
  <c r="O373" i="42" s="1"/>
  <c r="P373" i="42" s="1"/>
  <c r="J373" i="42"/>
  <c r="K373" i="42" s="1"/>
  <c r="J372" i="42"/>
  <c r="K372" i="42" s="1"/>
  <c r="L372" i="42" s="1"/>
  <c r="M372" i="42" s="1"/>
  <c r="N372" i="42" s="1"/>
  <c r="O372" i="42" s="1"/>
  <c r="P372" i="42" s="1"/>
  <c r="K371" i="42"/>
  <c r="L371" i="42" s="1"/>
  <c r="M371" i="42" s="1"/>
  <c r="N371" i="42" s="1"/>
  <c r="O371" i="42" s="1"/>
  <c r="P371" i="42" s="1"/>
  <c r="J371" i="42"/>
  <c r="L370" i="42"/>
  <c r="M370" i="42" s="1"/>
  <c r="N370" i="42" s="1"/>
  <c r="O370" i="42" s="1"/>
  <c r="P370" i="42" s="1"/>
  <c r="J370" i="42"/>
  <c r="K370" i="42" s="1"/>
  <c r="N369" i="42"/>
  <c r="O369" i="42" s="1"/>
  <c r="P369" i="42" s="1"/>
  <c r="L369" i="42"/>
  <c r="M369" i="42" s="1"/>
  <c r="J369" i="42"/>
  <c r="K369" i="42" s="1"/>
  <c r="J368" i="42"/>
  <c r="K368" i="42" s="1"/>
  <c r="L368" i="42" s="1"/>
  <c r="M368" i="42" s="1"/>
  <c r="N368" i="42" s="1"/>
  <c r="O368" i="42" s="1"/>
  <c r="P368" i="42" s="1"/>
  <c r="J367" i="42"/>
  <c r="K367" i="42" s="1"/>
  <c r="L367" i="42" s="1"/>
  <c r="M367" i="42" s="1"/>
  <c r="N367" i="42" s="1"/>
  <c r="O367" i="42" s="1"/>
  <c r="P367" i="42" s="1"/>
  <c r="J366" i="42"/>
  <c r="K366" i="42" s="1"/>
  <c r="L366" i="42" s="1"/>
  <c r="M366" i="42" s="1"/>
  <c r="N366" i="42" s="1"/>
  <c r="O366" i="42" s="1"/>
  <c r="P366" i="42" s="1"/>
  <c r="N365" i="42"/>
  <c r="O365" i="42" s="1"/>
  <c r="P365" i="42" s="1"/>
  <c r="J365" i="42"/>
  <c r="K365" i="42" s="1"/>
  <c r="L365" i="42" s="1"/>
  <c r="M365" i="42" s="1"/>
  <c r="J364" i="42"/>
  <c r="K364" i="42" s="1"/>
  <c r="L364" i="42" s="1"/>
  <c r="M364" i="42" s="1"/>
  <c r="N364" i="42" s="1"/>
  <c r="O364" i="42" s="1"/>
  <c r="P364" i="42" s="1"/>
  <c r="J363" i="42"/>
  <c r="K363" i="42" s="1"/>
  <c r="L363" i="42" s="1"/>
  <c r="M363" i="42" s="1"/>
  <c r="N363" i="42" s="1"/>
  <c r="O363" i="42" s="1"/>
  <c r="P363" i="42" s="1"/>
  <c r="J362" i="42"/>
  <c r="K362" i="42" s="1"/>
  <c r="L362" i="42" s="1"/>
  <c r="M362" i="42" s="1"/>
  <c r="N362" i="42" s="1"/>
  <c r="O362" i="42" s="1"/>
  <c r="P362" i="42" s="1"/>
  <c r="L361" i="42"/>
  <c r="M361" i="42" s="1"/>
  <c r="N361" i="42" s="1"/>
  <c r="O361" i="42" s="1"/>
  <c r="P361" i="42" s="1"/>
  <c r="J361" i="42"/>
  <c r="K361" i="42" s="1"/>
  <c r="J360" i="42"/>
  <c r="K360" i="42" s="1"/>
  <c r="L360" i="42" s="1"/>
  <c r="M360" i="42" s="1"/>
  <c r="N360" i="42" s="1"/>
  <c r="O360" i="42" s="1"/>
  <c r="P360" i="42" s="1"/>
  <c r="J359" i="42"/>
  <c r="K359" i="42" s="1"/>
  <c r="L359" i="42" s="1"/>
  <c r="M359" i="42" s="1"/>
  <c r="N359" i="42" s="1"/>
  <c r="O359" i="42" s="1"/>
  <c r="P359" i="42" s="1"/>
  <c r="P358" i="42"/>
  <c r="K358" i="42"/>
  <c r="L358" i="42" s="1"/>
  <c r="M358" i="42" s="1"/>
  <c r="N358" i="42" s="1"/>
  <c r="O358" i="42" s="1"/>
  <c r="J358" i="42"/>
  <c r="L357" i="42"/>
  <c r="M357" i="42" s="1"/>
  <c r="N357" i="42" s="1"/>
  <c r="O357" i="42" s="1"/>
  <c r="P357" i="42" s="1"/>
  <c r="J357" i="42"/>
  <c r="K357" i="42" s="1"/>
  <c r="J356" i="42"/>
  <c r="K356" i="42" s="1"/>
  <c r="L356" i="42" s="1"/>
  <c r="M356" i="42" s="1"/>
  <c r="N356" i="42" s="1"/>
  <c r="O356" i="42" s="1"/>
  <c r="P356" i="42" s="1"/>
  <c r="K355" i="42"/>
  <c r="L355" i="42" s="1"/>
  <c r="M355" i="42" s="1"/>
  <c r="N355" i="42" s="1"/>
  <c r="O355" i="42" s="1"/>
  <c r="P355" i="42" s="1"/>
  <c r="J355" i="42"/>
  <c r="J354" i="42"/>
  <c r="K354" i="42" s="1"/>
  <c r="L354" i="42" s="1"/>
  <c r="M354" i="42" s="1"/>
  <c r="N354" i="42" s="1"/>
  <c r="O354" i="42" s="1"/>
  <c r="P354" i="42" s="1"/>
  <c r="J353" i="42"/>
  <c r="K353" i="42" s="1"/>
  <c r="L353" i="42" s="1"/>
  <c r="M353" i="42" s="1"/>
  <c r="N353" i="42" s="1"/>
  <c r="O353" i="42" s="1"/>
  <c r="P353" i="42" s="1"/>
  <c r="J352" i="42"/>
  <c r="K352" i="42" s="1"/>
  <c r="L352" i="42" s="1"/>
  <c r="M352" i="42" s="1"/>
  <c r="N352" i="42" s="1"/>
  <c r="O352" i="42" s="1"/>
  <c r="P352" i="42" s="1"/>
  <c r="J351" i="42"/>
  <c r="K351" i="42" s="1"/>
  <c r="L351" i="42" s="1"/>
  <c r="M351" i="42" s="1"/>
  <c r="N351" i="42" s="1"/>
  <c r="O351" i="42" s="1"/>
  <c r="P351" i="42" s="1"/>
  <c r="L350" i="42"/>
  <c r="M350" i="42" s="1"/>
  <c r="N350" i="42" s="1"/>
  <c r="O350" i="42" s="1"/>
  <c r="P350" i="42" s="1"/>
  <c r="J350" i="42"/>
  <c r="K350" i="42" s="1"/>
  <c r="J349" i="42"/>
  <c r="K349" i="42" s="1"/>
  <c r="L349" i="42" s="1"/>
  <c r="M349" i="42" s="1"/>
  <c r="N349" i="42" s="1"/>
  <c r="O349" i="42" s="1"/>
  <c r="P349" i="42" s="1"/>
  <c r="K348" i="42"/>
  <c r="L348" i="42" s="1"/>
  <c r="M348" i="42" s="1"/>
  <c r="N348" i="42" s="1"/>
  <c r="O348" i="42" s="1"/>
  <c r="P348" i="42" s="1"/>
  <c r="J348" i="42"/>
  <c r="L347" i="42"/>
  <c r="M347" i="42" s="1"/>
  <c r="N347" i="42" s="1"/>
  <c r="O347" i="42" s="1"/>
  <c r="P347" i="42" s="1"/>
  <c r="K347" i="42"/>
  <c r="J347" i="42"/>
  <c r="P346" i="42"/>
  <c r="N346" i="42"/>
  <c r="O346" i="42" s="1"/>
  <c r="J346" i="42"/>
  <c r="K346" i="42" s="1"/>
  <c r="L346" i="42" s="1"/>
  <c r="M346" i="42" s="1"/>
  <c r="P345" i="42"/>
  <c r="J344" i="42"/>
  <c r="K344" i="42" s="1"/>
  <c r="L344" i="42" s="1"/>
  <c r="M344" i="42" s="1"/>
  <c r="N344" i="42" s="1"/>
  <c r="O344" i="42" s="1"/>
  <c r="P344" i="42" s="1"/>
  <c r="J343" i="42"/>
  <c r="K343" i="42" s="1"/>
  <c r="L343" i="42" s="1"/>
  <c r="M343" i="42" s="1"/>
  <c r="N343" i="42" s="1"/>
  <c r="O343" i="42" s="1"/>
  <c r="P343" i="42" s="1"/>
  <c r="L342" i="42"/>
  <c r="M342" i="42" s="1"/>
  <c r="N342" i="42" s="1"/>
  <c r="O342" i="42" s="1"/>
  <c r="P342" i="42" s="1"/>
  <c r="J342" i="42"/>
  <c r="K342" i="42" s="1"/>
  <c r="K341" i="42"/>
  <c r="L341" i="42" s="1"/>
  <c r="M341" i="42" s="1"/>
  <c r="N341" i="42" s="1"/>
  <c r="O341" i="42" s="1"/>
  <c r="P341" i="42" s="1"/>
  <c r="J341" i="42"/>
  <c r="L340" i="42"/>
  <c r="M340" i="42" s="1"/>
  <c r="N340" i="42" s="1"/>
  <c r="O340" i="42" s="1"/>
  <c r="P340" i="42" s="1"/>
  <c r="J340" i="42"/>
  <c r="K340" i="42" s="1"/>
  <c r="M339" i="42"/>
  <c r="N339" i="42" s="1"/>
  <c r="O339" i="42" s="1"/>
  <c r="P339" i="42" s="1"/>
  <c r="K339" i="42"/>
  <c r="L339" i="42" s="1"/>
  <c r="J339" i="42"/>
  <c r="A339" i="42"/>
  <c r="A340" i="42" s="1"/>
  <c r="A341" i="42" s="1"/>
  <c r="A342" i="42" s="1"/>
  <c r="A343" i="42" s="1"/>
  <c r="A344" i="42" s="1"/>
  <c r="A345" i="42" s="1"/>
  <c r="A346" i="42" s="1"/>
  <c r="A347" i="42" s="1"/>
  <c r="A348" i="42" s="1"/>
  <c r="A349" i="42" s="1"/>
  <c r="A350" i="42" s="1"/>
  <c r="A351" i="42" s="1"/>
  <c r="A352" i="42" s="1"/>
  <c r="A353" i="42" s="1"/>
  <c r="A354" i="42" s="1"/>
  <c r="A355" i="42" s="1"/>
  <c r="A356" i="42" s="1"/>
  <c r="A357" i="42" s="1"/>
  <c r="A358" i="42" s="1"/>
  <c r="A359" i="42" s="1"/>
  <c r="A360" i="42" s="1"/>
  <c r="A361" i="42" s="1"/>
  <c r="A362" i="42" s="1"/>
  <c r="A363" i="42" s="1"/>
  <c r="A364" i="42" s="1"/>
  <c r="A365" i="42" s="1"/>
  <c r="A366" i="42" s="1"/>
  <c r="A367" i="42" s="1"/>
  <c r="A368" i="42" s="1"/>
  <c r="A369" i="42" s="1"/>
  <c r="A370" i="42" s="1"/>
  <c r="A371" i="42" s="1"/>
  <c r="A372" i="42" s="1"/>
  <c r="A373" i="42" s="1"/>
  <c r="A374" i="42" s="1"/>
  <c r="A375" i="42" s="1"/>
  <c r="A376" i="42" s="1"/>
  <c r="A377" i="42" s="1"/>
  <c r="A378" i="42" s="1"/>
  <c r="L338" i="42"/>
  <c r="M338" i="42" s="1"/>
  <c r="N338" i="42" s="1"/>
  <c r="O338" i="42" s="1"/>
  <c r="P338" i="42" s="1"/>
  <c r="J338" i="42"/>
  <c r="K338" i="42" s="1"/>
  <c r="J337" i="42"/>
  <c r="K337" i="42" s="1"/>
  <c r="L337" i="42" s="1"/>
  <c r="M337" i="42" s="1"/>
  <c r="N337" i="42" s="1"/>
  <c r="O337" i="42" s="1"/>
  <c r="P337" i="42" s="1"/>
  <c r="K336" i="42"/>
  <c r="L336" i="42" s="1"/>
  <c r="M336" i="42" s="1"/>
  <c r="N336" i="42" s="1"/>
  <c r="O336" i="42" s="1"/>
  <c r="P336" i="42" s="1"/>
  <c r="J336" i="42"/>
  <c r="N335" i="42"/>
  <c r="O335" i="42" s="1"/>
  <c r="P335" i="42" s="1"/>
  <c r="L335" i="42"/>
  <c r="M335" i="42" s="1"/>
  <c r="J335" i="42"/>
  <c r="K335" i="42" s="1"/>
  <c r="M334" i="42"/>
  <c r="N334" i="42" s="1"/>
  <c r="O334" i="42" s="1"/>
  <c r="P334" i="42" s="1"/>
  <c r="J334" i="42"/>
  <c r="K334" i="42" s="1"/>
  <c r="L334" i="42" s="1"/>
  <c r="N333" i="42"/>
  <c r="O333" i="42" s="1"/>
  <c r="P333" i="42" s="1"/>
  <c r="J333" i="42"/>
  <c r="K333" i="42" s="1"/>
  <c r="L333" i="42" s="1"/>
  <c r="M333" i="42" s="1"/>
  <c r="K332" i="42"/>
  <c r="L332" i="42" s="1"/>
  <c r="M332" i="42" s="1"/>
  <c r="N332" i="42" s="1"/>
  <c r="O332" i="42" s="1"/>
  <c r="P332" i="42" s="1"/>
  <c r="J332" i="42"/>
  <c r="J331" i="42"/>
  <c r="K331" i="42" s="1"/>
  <c r="L331" i="42" s="1"/>
  <c r="M331" i="42" s="1"/>
  <c r="N331" i="42" s="1"/>
  <c r="O331" i="42" s="1"/>
  <c r="P331" i="42" s="1"/>
  <c r="P330" i="42"/>
  <c r="N330" i="42"/>
  <c r="O330" i="42" s="1"/>
  <c r="K330" i="42"/>
  <c r="L330" i="42" s="1"/>
  <c r="M330" i="42" s="1"/>
  <c r="J330" i="42"/>
  <c r="J329" i="42"/>
  <c r="K329" i="42" s="1"/>
  <c r="L329" i="42" s="1"/>
  <c r="M329" i="42" s="1"/>
  <c r="N329" i="42" s="1"/>
  <c r="O329" i="42" s="1"/>
  <c r="P329" i="42" s="1"/>
  <c r="A329" i="42"/>
  <c r="A330" i="42" s="1"/>
  <c r="A331" i="42" s="1"/>
  <c r="A332" i="42" s="1"/>
  <c r="A333" i="42" s="1"/>
  <c r="A334" i="42" s="1"/>
  <c r="A335" i="42" s="1"/>
  <c r="A336" i="42" s="1"/>
  <c r="A337" i="42" s="1"/>
  <c r="A338" i="42" s="1"/>
  <c r="N328" i="42"/>
  <c r="O328" i="42" s="1"/>
  <c r="P328" i="42" s="1"/>
  <c r="J328" i="42"/>
  <c r="K328" i="42" s="1"/>
  <c r="L328" i="42" s="1"/>
  <c r="M328" i="42" s="1"/>
  <c r="A328" i="42"/>
  <c r="J326" i="42"/>
  <c r="K326" i="42" s="1"/>
  <c r="L326" i="42" s="1"/>
  <c r="M326" i="42" s="1"/>
  <c r="N326" i="42" s="1"/>
  <c r="O326" i="42" s="1"/>
  <c r="P326" i="42" s="1"/>
  <c r="K325" i="42"/>
  <c r="L325" i="42" s="1"/>
  <c r="M325" i="42" s="1"/>
  <c r="N325" i="42" s="1"/>
  <c r="O325" i="42" s="1"/>
  <c r="P325" i="42" s="1"/>
  <c r="J325" i="42"/>
  <c r="L324" i="42"/>
  <c r="M324" i="42" s="1"/>
  <c r="N324" i="42" s="1"/>
  <c r="O324" i="42" s="1"/>
  <c r="P324" i="42" s="1"/>
  <c r="K324" i="42"/>
  <c r="J324" i="42"/>
  <c r="O323" i="42"/>
  <c r="P323" i="42" s="1"/>
  <c r="K323" i="42"/>
  <c r="L323" i="42" s="1"/>
  <c r="M323" i="42" s="1"/>
  <c r="N323" i="42" s="1"/>
  <c r="J323" i="42"/>
  <c r="K322" i="42"/>
  <c r="L322" i="42" s="1"/>
  <c r="M322" i="42" s="1"/>
  <c r="N322" i="42" s="1"/>
  <c r="O322" i="42" s="1"/>
  <c r="P322" i="42" s="1"/>
  <c r="J322" i="42"/>
  <c r="N321" i="42"/>
  <c r="O321" i="42" s="1"/>
  <c r="P321" i="42" s="1"/>
  <c r="L321" i="42"/>
  <c r="M321" i="42" s="1"/>
  <c r="J321" i="42"/>
  <c r="K321" i="42" s="1"/>
  <c r="K320" i="42"/>
  <c r="L320" i="42" s="1"/>
  <c r="M320" i="42" s="1"/>
  <c r="N320" i="42" s="1"/>
  <c r="O320" i="42" s="1"/>
  <c r="P320" i="42" s="1"/>
  <c r="J320" i="42"/>
  <c r="K319" i="42"/>
  <c r="L319" i="42" s="1"/>
  <c r="M319" i="42" s="1"/>
  <c r="N319" i="42" s="1"/>
  <c r="O319" i="42" s="1"/>
  <c r="P319" i="42" s="1"/>
  <c r="J319" i="42"/>
  <c r="M318" i="42"/>
  <c r="N318" i="42" s="1"/>
  <c r="O318" i="42" s="1"/>
  <c r="P318" i="42" s="1"/>
  <c r="K318" i="42"/>
  <c r="L318" i="42" s="1"/>
  <c r="J318" i="42"/>
  <c r="A318" i="42"/>
  <c r="A319" i="42" s="1"/>
  <c r="A320" i="42" s="1"/>
  <c r="A321" i="42" s="1"/>
  <c r="A322" i="42" s="1"/>
  <c r="A323" i="42" s="1"/>
  <c r="A324" i="42" s="1"/>
  <c r="A325" i="42" s="1"/>
  <c r="A326" i="42" s="1"/>
  <c r="J317" i="42"/>
  <c r="K317" i="42" s="1"/>
  <c r="L317" i="42" s="1"/>
  <c r="M317" i="42" s="1"/>
  <c r="N317" i="42" s="1"/>
  <c r="O317" i="42" s="1"/>
  <c r="P317" i="42" s="1"/>
  <c r="J316" i="42"/>
  <c r="K316" i="42" s="1"/>
  <c r="L316" i="42" s="1"/>
  <c r="M316" i="42" s="1"/>
  <c r="N316" i="42" s="1"/>
  <c r="O316" i="42" s="1"/>
  <c r="P316" i="42" s="1"/>
  <c r="A316" i="42"/>
  <c r="A317" i="42" s="1"/>
  <c r="L314" i="42"/>
  <c r="M314" i="42" s="1"/>
  <c r="N314" i="42" s="1"/>
  <c r="O314" i="42" s="1"/>
  <c r="P314" i="42" s="1"/>
  <c r="K314" i="42"/>
  <c r="J314" i="42"/>
  <c r="A314" i="42"/>
  <c r="K313" i="42"/>
  <c r="L313" i="42" s="1"/>
  <c r="M313" i="42" s="1"/>
  <c r="N313" i="42" s="1"/>
  <c r="O313" i="42" s="1"/>
  <c r="P313" i="42" s="1"/>
  <c r="J313" i="42"/>
  <c r="L312" i="42"/>
  <c r="M312" i="42" s="1"/>
  <c r="N312" i="42" s="1"/>
  <c r="O312" i="42" s="1"/>
  <c r="P312" i="42" s="1"/>
  <c r="K312" i="42"/>
  <c r="J312" i="42"/>
  <c r="M311" i="42"/>
  <c r="N311" i="42" s="1"/>
  <c r="O311" i="42" s="1"/>
  <c r="P311" i="42" s="1"/>
  <c r="K311" i="42"/>
  <c r="L311" i="42" s="1"/>
  <c r="J311" i="42"/>
  <c r="A311" i="42"/>
  <c r="A312" i="42" s="1"/>
  <c r="A313" i="42" s="1"/>
  <c r="J310" i="42"/>
  <c r="K310" i="42" s="1"/>
  <c r="L310" i="42" s="1"/>
  <c r="M310" i="42" s="1"/>
  <c r="N310" i="42" s="1"/>
  <c r="O310" i="42" s="1"/>
  <c r="P310" i="42" s="1"/>
  <c r="A310" i="42"/>
  <c r="J309" i="42"/>
  <c r="K309" i="42" s="1"/>
  <c r="L309" i="42" s="1"/>
  <c r="M309" i="42" s="1"/>
  <c r="N309" i="42" s="1"/>
  <c r="O309" i="42" s="1"/>
  <c r="P309" i="42" s="1"/>
  <c r="A309" i="42"/>
  <c r="N307" i="42"/>
  <c r="O307" i="42" s="1"/>
  <c r="P307" i="42" s="1"/>
  <c r="J307" i="42"/>
  <c r="K307" i="42" s="1"/>
  <c r="L307" i="42" s="1"/>
  <c r="M307" i="42" s="1"/>
  <c r="P306" i="42"/>
  <c r="K306" i="42"/>
  <c r="L306" i="42" s="1"/>
  <c r="M306" i="42" s="1"/>
  <c r="N306" i="42" s="1"/>
  <c r="O306" i="42" s="1"/>
  <c r="J306" i="42"/>
  <c r="A306" i="42"/>
  <c r="A307" i="42" s="1"/>
  <c r="L305" i="42"/>
  <c r="M305" i="42" s="1"/>
  <c r="N305" i="42" s="1"/>
  <c r="O305" i="42" s="1"/>
  <c r="P305" i="42" s="1"/>
  <c r="K305" i="42"/>
  <c r="J305" i="42"/>
  <c r="A305" i="42"/>
  <c r="J304" i="42"/>
  <c r="K304" i="42" s="1"/>
  <c r="L304" i="42" s="1"/>
  <c r="M304" i="42" s="1"/>
  <c r="N304" i="42" s="1"/>
  <c r="O304" i="42" s="1"/>
  <c r="P304" i="42" s="1"/>
  <c r="N303" i="42"/>
  <c r="O303" i="42" s="1"/>
  <c r="P303" i="42" s="1"/>
  <c r="M303" i="42"/>
  <c r="L303" i="42"/>
  <c r="K303" i="42"/>
  <c r="J303" i="42"/>
  <c r="K302" i="42"/>
  <c r="L302" i="42" s="1"/>
  <c r="M302" i="42" s="1"/>
  <c r="N302" i="42" s="1"/>
  <c r="O302" i="42" s="1"/>
  <c r="P302" i="42" s="1"/>
  <c r="J302" i="42"/>
  <c r="A302" i="42"/>
  <c r="A303" i="42" s="1"/>
  <c r="A304" i="42" s="1"/>
  <c r="N300" i="42"/>
  <c r="O300" i="42" s="1"/>
  <c r="P300" i="42" s="1"/>
  <c r="J300" i="42"/>
  <c r="K300" i="42" s="1"/>
  <c r="L300" i="42" s="1"/>
  <c r="M300" i="42" s="1"/>
  <c r="J299" i="42"/>
  <c r="K299" i="42" s="1"/>
  <c r="L299" i="42" s="1"/>
  <c r="M299" i="42" s="1"/>
  <c r="N299" i="42" s="1"/>
  <c r="O299" i="42" s="1"/>
  <c r="P299" i="42" s="1"/>
  <c r="J298" i="42"/>
  <c r="K298" i="42" s="1"/>
  <c r="L298" i="42" s="1"/>
  <c r="M298" i="42" s="1"/>
  <c r="N298" i="42" s="1"/>
  <c r="O298" i="42" s="1"/>
  <c r="P298" i="42" s="1"/>
  <c r="N297" i="42"/>
  <c r="O297" i="42" s="1"/>
  <c r="P297" i="42" s="1"/>
  <c r="K297" i="42"/>
  <c r="L297" i="42" s="1"/>
  <c r="M297" i="42" s="1"/>
  <c r="J297" i="42"/>
  <c r="J296" i="42"/>
  <c r="K296" i="42" s="1"/>
  <c r="L296" i="42" s="1"/>
  <c r="M296" i="42" s="1"/>
  <c r="N296" i="42" s="1"/>
  <c r="O296" i="42" s="1"/>
  <c r="P296" i="42" s="1"/>
  <c r="A296" i="42"/>
  <c r="A297" i="42" s="1"/>
  <c r="A298" i="42" s="1"/>
  <c r="A299" i="42" s="1"/>
  <c r="A300" i="42" s="1"/>
  <c r="J294" i="42"/>
  <c r="K294" i="42" s="1"/>
  <c r="L294" i="42" s="1"/>
  <c r="M294" i="42" s="1"/>
  <c r="N294" i="42" s="1"/>
  <c r="O294" i="42" s="1"/>
  <c r="P294" i="42" s="1"/>
  <c r="P293" i="42"/>
  <c r="K293" i="42"/>
  <c r="L293" i="42" s="1"/>
  <c r="M293" i="42" s="1"/>
  <c r="N293" i="42" s="1"/>
  <c r="O293" i="42" s="1"/>
  <c r="J293" i="42"/>
  <c r="L292" i="42"/>
  <c r="M292" i="42" s="1"/>
  <c r="N292" i="42" s="1"/>
  <c r="O292" i="42" s="1"/>
  <c r="P292" i="42" s="1"/>
  <c r="K292" i="42"/>
  <c r="J292" i="42"/>
  <c r="K291" i="42"/>
  <c r="L291" i="42" s="1"/>
  <c r="M291" i="42" s="1"/>
  <c r="N291" i="42" s="1"/>
  <c r="O291" i="42" s="1"/>
  <c r="P291" i="42" s="1"/>
  <c r="J291" i="42"/>
  <c r="A291" i="42"/>
  <c r="A292" i="42" s="1"/>
  <c r="A293" i="42" s="1"/>
  <c r="A294" i="42" s="1"/>
  <c r="K290" i="42"/>
  <c r="L290" i="42" s="1"/>
  <c r="M290" i="42" s="1"/>
  <c r="N290" i="42" s="1"/>
  <c r="O290" i="42" s="1"/>
  <c r="P290" i="42" s="1"/>
  <c r="J290" i="42"/>
  <c r="A290" i="42"/>
  <c r="N289" i="42"/>
  <c r="O289" i="42" s="1"/>
  <c r="P289" i="42" s="1"/>
  <c r="L289" i="42"/>
  <c r="M289" i="42" s="1"/>
  <c r="J289" i="42"/>
  <c r="K289" i="42" s="1"/>
  <c r="A289" i="42"/>
  <c r="K287" i="42"/>
  <c r="L287" i="42" s="1"/>
  <c r="M287" i="42" s="1"/>
  <c r="N287" i="42" s="1"/>
  <c r="O287" i="42" s="1"/>
  <c r="P287" i="42" s="1"/>
  <c r="J287" i="42"/>
  <c r="K286" i="42"/>
  <c r="L286" i="42" s="1"/>
  <c r="M286" i="42" s="1"/>
  <c r="N286" i="42" s="1"/>
  <c r="O286" i="42" s="1"/>
  <c r="P286" i="42" s="1"/>
  <c r="J286" i="42"/>
  <c r="J285" i="42"/>
  <c r="K285" i="42" s="1"/>
  <c r="L285" i="42" s="1"/>
  <c r="M285" i="42" s="1"/>
  <c r="N285" i="42" s="1"/>
  <c r="O285" i="42" s="1"/>
  <c r="P285" i="42" s="1"/>
  <c r="P284" i="42"/>
  <c r="O284" i="42"/>
  <c r="L284" i="42"/>
  <c r="M284" i="42" s="1"/>
  <c r="N284" i="42" s="1"/>
  <c r="J284" i="42"/>
  <c r="K284" i="42" s="1"/>
  <c r="L283" i="42"/>
  <c r="M283" i="42" s="1"/>
  <c r="N283" i="42" s="1"/>
  <c r="O283" i="42" s="1"/>
  <c r="P283" i="42" s="1"/>
  <c r="K283" i="42"/>
  <c r="J283" i="42"/>
  <c r="J282" i="42"/>
  <c r="K282" i="42" s="1"/>
  <c r="L282" i="42" s="1"/>
  <c r="M282" i="42" s="1"/>
  <c r="N282" i="42" s="1"/>
  <c r="O282" i="42" s="1"/>
  <c r="P282" i="42" s="1"/>
  <c r="J281" i="42"/>
  <c r="K281" i="42" s="1"/>
  <c r="L281" i="42" s="1"/>
  <c r="M281" i="42" s="1"/>
  <c r="N281" i="42" s="1"/>
  <c r="O281" i="42" s="1"/>
  <c r="P281" i="42" s="1"/>
  <c r="P280" i="42"/>
  <c r="N280" i="42"/>
  <c r="O280" i="42" s="1"/>
  <c r="L280" i="42"/>
  <c r="M280" i="42" s="1"/>
  <c r="J280" i="42"/>
  <c r="K280" i="42" s="1"/>
  <c r="N279" i="42"/>
  <c r="O279" i="42" s="1"/>
  <c r="P279" i="42" s="1"/>
  <c r="J279" i="42"/>
  <c r="K279" i="42" s="1"/>
  <c r="L279" i="42" s="1"/>
  <c r="M279" i="42" s="1"/>
  <c r="L278" i="42"/>
  <c r="M278" i="42" s="1"/>
  <c r="N278" i="42" s="1"/>
  <c r="O278" i="42" s="1"/>
  <c r="P278" i="42" s="1"/>
  <c r="J278" i="42"/>
  <c r="K278" i="42" s="1"/>
  <c r="M277" i="42"/>
  <c r="N277" i="42" s="1"/>
  <c r="O277" i="42" s="1"/>
  <c r="P277" i="42" s="1"/>
  <c r="L277" i="42"/>
  <c r="K277" i="42"/>
  <c r="J277" i="42"/>
  <c r="P276" i="42"/>
  <c r="O276" i="42"/>
  <c r="N276" i="42"/>
  <c r="L276" i="42"/>
  <c r="M276" i="42" s="1"/>
  <c r="J276" i="42"/>
  <c r="K276" i="42" s="1"/>
  <c r="J275" i="42"/>
  <c r="K275" i="42" s="1"/>
  <c r="L275" i="42" s="1"/>
  <c r="M275" i="42" s="1"/>
  <c r="N275" i="42" s="1"/>
  <c r="O275" i="42" s="1"/>
  <c r="P275" i="42" s="1"/>
  <c r="L274" i="42"/>
  <c r="M274" i="42" s="1"/>
  <c r="N274" i="42" s="1"/>
  <c r="O274" i="42" s="1"/>
  <c r="P274" i="42" s="1"/>
  <c r="J274" i="42"/>
  <c r="K274" i="42" s="1"/>
  <c r="J273" i="42"/>
  <c r="K273" i="42" s="1"/>
  <c r="L273" i="42" s="1"/>
  <c r="M273" i="42" s="1"/>
  <c r="N273" i="42" s="1"/>
  <c r="O273" i="42" s="1"/>
  <c r="P273" i="42" s="1"/>
  <c r="N272" i="42"/>
  <c r="O272" i="42" s="1"/>
  <c r="P272" i="42" s="1"/>
  <c r="L272" i="42"/>
  <c r="M272" i="42" s="1"/>
  <c r="J272" i="42"/>
  <c r="K272" i="42" s="1"/>
  <c r="J271" i="42"/>
  <c r="K271" i="42" s="1"/>
  <c r="L271" i="42" s="1"/>
  <c r="M271" i="42" s="1"/>
  <c r="N271" i="42" s="1"/>
  <c r="O271" i="42" s="1"/>
  <c r="P271" i="42" s="1"/>
  <c r="J270" i="42"/>
  <c r="K270" i="42" s="1"/>
  <c r="L270" i="42" s="1"/>
  <c r="M270" i="42" s="1"/>
  <c r="N270" i="42" s="1"/>
  <c r="O270" i="42" s="1"/>
  <c r="P270" i="42" s="1"/>
  <c r="L269" i="42"/>
  <c r="M269" i="42" s="1"/>
  <c r="N269" i="42" s="1"/>
  <c r="O269" i="42" s="1"/>
  <c r="P269" i="42" s="1"/>
  <c r="K269" i="42"/>
  <c r="J269" i="42"/>
  <c r="O268" i="42"/>
  <c r="P268" i="42" s="1"/>
  <c r="J268" i="42"/>
  <c r="K268" i="42" s="1"/>
  <c r="L268" i="42" s="1"/>
  <c r="M268" i="42" s="1"/>
  <c r="N268" i="42" s="1"/>
  <c r="M267" i="42"/>
  <c r="N267" i="42" s="1"/>
  <c r="O267" i="42" s="1"/>
  <c r="P267" i="42" s="1"/>
  <c r="L267" i="42"/>
  <c r="J267" i="42"/>
  <c r="K267" i="42" s="1"/>
  <c r="L266" i="42"/>
  <c r="M266" i="42" s="1"/>
  <c r="N266" i="42" s="1"/>
  <c r="O266" i="42" s="1"/>
  <c r="P266" i="42" s="1"/>
  <c r="J266" i="42"/>
  <c r="K266" i="42" s="1"/>
  <c r="M265" i="42"/>
  <c r="N265" i="42" s="1"/>
  <c r="O265" i="42" s="1"/>
  <c r="P265" i="42" s="1"/>
  <c r="L265" i="42"/>
  <c r="K265" i="42"/>
  <c r="J265" i="42"/>
  <c r="O264" i="42"/>
  <c r="P264" i="42" s="1"/>
  <c r="J264" i="42"/>
  <c r="K264" i="42" s="1"/>
  <c r="L264" i="42" s="1"/>
  <c r="M264" i="42" s="1"/>
  <c r="N264" i="42" s="1"/>
  <c r="K263" i="42"/>
  <c r="L263" i="42" s="1"/>
  <c r="M263" i="42" s="1"/>
  <c r="N263" i="42" s="1"/>
  <c r="O263" i="42" s="1"/>
  <c r="P263" i="42" s="1"/>
  <c r="J263" i="42"/>
  <c r="O262" i="42"/>
  <c r="P262" i="42" s="1"/>
  <c r="N262" i="42"/>
  <c r="J262" i="42"/>
  <c r="K262" i="42" s="1"/>
  <c r="L262" i="42" s="1"/>
  <c r="M262" i="42" s="1"/>
  <c r="J261" i="42"/>
  <c r="K261" i="42" s="1"/>
  <c r="L261" i="42" s="1"/>
  <c r="M261" i="42" s="1"/>
  <c r="N261" i="42" s="1"/>
  <c r="O261" i="42" s="1"/>
  <c r="P261" i="42" s="1"/>
  <c r="J260" i="42"/>
  <c r="K260" i="42" s="1"/>
  <c r="L260" i="42" s="1"/>
  <c r="M260" i="42" s="1"/>
  <c r="N260" i="42" s="1"/>
  <c r="O260" i="42" s="1"/>
  <c r="P260" i="42" s="1"/>
  <c r="J259" i="42"/>
  <c r="K259" i="42" s="1"/>
  <c r="L259" i="42" s="1"/>
  <c r="M259" i="42" s="1"/>
  <c r="N259" i="42" s="1"/>
  <c r="O259" i="42" s="1"/>
  <c r="P259" i="42" s="1"/>
  <c r="J258" i="42"/>
  <c r="K258" i="42" s="1"/>
  <c r="L258" i="42" s="1"/>
  <c r="M258" i="42" s="1"/>
  <c r="N258" i="42" s="1"/>
  <c r="O258" i="42" s="1"/>
  <c r="P258" i="42" s="1"/>
  <c r="N257" i="42"/>
  <c r="O257" i="42" s="1"/>
  <c r="P257" i="42" s="1"/>
  <c r="M257" i="42"/>
  <c r="K257" i="42"/>
  <c r="L257" i="42" s="1"/>
  <c r="J257" i="42"/>
  <c r="N256" i="42"/>
  <c r="O256" i="42" s="1"/>
  <c r="P256" i="42" s="1"/>
  <c r="L256" i="42"/>
  <c r="M256" i="42" s="1"/>
  <c r="J256" i="42"/>
  <c r="K256" i="42" s="1"/>
  <c r="J255" i="42"/>
  <c r="K255" i="42" s="1"/>
  <c r="L255" i="42" s="1"/>
  <c r="M255" i="42" s="1"/>
  <c r="N255" i="42" s="1"/>
  <c r="O255" i="42" s="1"/>
  <c r="P255" i="42" s="1"/>
  <c r="L254" i="42"/>
  <c r="M254" i="42" s="1"/>
  <c r="N254" i="42" s="1"/>
  <c r="O254" i="42" s="1"/>
  <c r="P254" i="42" s="1"/>
  <c r="J254" i="42"/>
  <c r="K254" i="42" s="1"/>
  <c r="K253" i="42"/>
  <c r="L253" i="42" s="1"/>
  <c r="M253" i="42" s="1"/>
  <c r="N253" i="42" s="1"/>
  <c r="O253" i="42" s="1"/>
  <c r="P253" i="42" s="1"/>
  <c r="J253" i="42"/>
  <c r="L252" i="42"/>
  <c r="M252" i="42" s="1"/>
  <c r="N252" i="42" s="1"/>
  <c r="O252" i="42" s="1"/>
  <c r="P252" i="42" s="1"/>
  <c r="J252" i="42"/>
  <c r="K252" i="42" s="1"/>
  <c r="L251" i="42"/>
  <c r="M251" i="42" s="1"/>
  <c r="N251" i="42" s="1"/>
  <c r="O251" i="42" s="1"/>
  <c r="P251" i="42" s="1"/>
  <c r="K251" i="42"/>
  <c r="J251" i="42"/>
  <c r="J250" i="42"/>
  <c r="K250" i="42" s="1"/>
  <c r="L250" i="42" s="1"/>
  <c r="M250" i="42" s="1"/>
  <c r="N250" i="42" s="1"/>
  <c r="O250" i="42" s="1"/>
  <c r="P250" i="42" s="1"/>
  <c r="J249" i="42"/>
  <c r="K249" i="42" s="1"/>
  <c r="L249" i="42" s="1"/>
  <c r="M249" i="42" s="1"/>
  <c r="N249" i="42" s="1"/>
  <c r="O249" i="42" s="1"/>
  <c r="P249" i="42" s="1"/>
  <c r="P248" i="42"/>
  <c r="J248" i="42"/>
  <c r="K248" i="42" s="1"/>
  <c r="L248" i="42" s="1"/>
  <c r="M248" i="42" s="1"/>
  <c r="N248" i="42" s="1"/>
  <c r="O248" i="42" s="1"/>
  <c r="K247" i="42"/>
  <c r="L247" i="42" s="1"/>
  <c r="M247" i="42" s="1"/>
  <c r="N247" i="42" s="1"/>
  <c r="O247" i="42" s="1"/>
  <c r="P247" i="42" s="1"/>
  <c r="J247" i="42"/>
  <c r="J246" i="42"/>
  <c r="K246" i="42" s="1"/>
  <c r="L246" i="42" s="1"/>
  <c r="M246" i="42" s="1"/>
  <c r="N246" i="42" s="1"/>
  <c r="O246" i="42" s="1"/>
  <c r="P246" i="42" s="1"/>
  <c r="J245" i="42"/>
  <c r="K245" i="42" s="1"/>
  <c r="L245" i="42" s="1"/>
  <c r="M245" i="42" s="1"/>
  <c r="N245" i="42" s="1"/>
  <c r="O245" i="42" s="1"/>
  <c r="P245" i="42" s="1"/>
  <c r="J244" i="42"/>
  <c r="K244" i="42" s="1"/>
  <c r="L244" i="42" s="1"/>
  <c r="M244" i="42" s="1"/>
  <c r="N244" i="42" s="1"/>
  <c r="O244" i="42" s="1"/>
  <c r="P244" i="42" s="1"/>
  <c r="N243" i="42"/>
  <c r="O243" i="42" s="1"/>
  <c r="P243" i="42" s="1"/>
  <c r="M243" i="42"/>
  <c r="L243" i="42"/>
  <c r="K243" i="42"/>
  <c r="J243" i="42"/>
  <c r="M242" i="42"/>
  <c r="N242" i="42" s="1"/>
  <c r="O242" i="42" s="1"/>
  <c r="P242" i="42" s="1"/>
  <c r="J242" i="42"/>
  <c r="K242" i="42" s="1"/>
  <c r="L242" i="42" s="1"/>
  <c r="O241" i="42"/>
  <c r="P241" i="42" s="1"/>
  <c r="J241" i="42"/>
  <c r="K241" i="42" s="1"/>
  <c r="L241" i="42" s="1"/>
  <c r="M241" i="42" s="1"/>
  <c r="N241" i="42" s="1"/>
  <c r="J240" i="42"/>
  <c r="K240" i="42" s="1"/>
  <c r="L240" i="42" s="1"/>
  <c r="M240" i="42" s="1"/>
  <c r="N240" i="42" s="1"/>
  <c r="O240" i="42" s="1"/>
  <c r="P240" i="42" s="1"/>
  <c r="J239" i="42"/>
  <c r="K239" i="42" s="1"/>
  <c r="L239" i="42" s="1"/>
  <c r="M239" i="42" s="1"/>
  <c r="N239" i="42" s="1"/>
  <c r="O239" i="42" s="1"/>
  <c r="P239" i="42" s="1"/>
  <c r="J238" i="42"/>
  <c r="K238" i="42" s="1"/>
  <c r="L238" i="42" s="1"/>
  <c r="M238" i="42" s="1"/>
  <c r="N238" i="42" s="1"/>
  <c r="O238" i="42" s="1"/>
  <c r="P238" i="42" s="1"/>
  <c r="K237" i="42"/>
  <c r="L237" i="42" s="1"/>
  <c r="M237" i="42" s="1"/>
  <c r="N237" i="42" s="1"/>
  <c r="O237" i="42" s="1"/>
  <c r="P237" i="42" s="1"/>
  <c r="J237" i="42"/>
  <c r="M236" i="42"/>
  <c r="N236" i="42" s="1"/>
  <c r="O236" i="42" s="1"/>
  <c r="P236" i="42" s="1"/>
  <c r="L236" i="42"/>
  <c r="J236" i="42"/>
  <c r="K236" i="42" s="1"/>
  <c r="J235" i="42"/>
  <c r="K235" i="42" s="1"/>
  <c r="L235" i="42" s="1"/>
  <c r="M235" i="42" s="1"/>
  <c r="N235" i="42" s="1"/>
  <c r="O235" i="42" s="1"/>
  <c r="P235" i="42" s="1"/>
  <c r="L234" i="42"/>
  <c r="M234" i="42" s="1"/>
  <c r="N234" i="42" s="1"/>
  <c r="O234" i="42" s="1"/>
  <c r="P234" i="42" s="1"/>
  <c r="J234" i="42"/>
  <c r="K234" i="42" s="1"/>
  <c r="M233" i="42"/>
  <c r="N233" i="42" s="1"/>
  <c r="O233" i="42" s="1"/>
  <c r="P233" i="42" s="1"/>
  <c r="L233" i="42"/>
  <c r="K233" i="42"/>
  <c r="J233" i="42"/>
  <c r="J232" i="42"/>
  <c r="K232" i="42" s="1"/>
  <c r="L232" i="42" s="1"/>
  <c r="M232" i="42" s="1"/>
  <c r="N232" i="42" s="1"/>
  <c r="O232" i="42" s="1"/>
  <c r="P232" i="42" s="1"/>
  <c r="J231" i="42"/>
  <c r="K231" i="42" s="1"/>
  <c r="L231" i="42" s="1"/>
  <c r="M231" i="42" s="1"/>
  <c r="N231" i="42" s="1"/>
  <c r="O231" i="42" s="1"/>
  <c r="P231" i="42" s="1"/>
  <c r="A231" i="42"/>
  <c r="A232" i="42" s="1"/>
  <c r="A233" i="42" s="1"/>
  <c r="A234" i="42" s="1"/>
  <c r="A235" i="42" s="1"/>
  <c r="A236" i="42" s="1"/>
  <c r="A237" i="42" s="1"/>
  <c r="A238" i="42" s="1"/>
  <c r="A239" i="42" s="1"/>
  <c r="A240" i="42" s="1"/>
  <c r="A241" i="42" s="1"/>
  <c r="A242" i="42" s="1"/>
  <c r="A243" i="42" s="1"/>
  <c r="A244" i="42" s="1"/>
  <c r="A245" i="42" s="1"/>
  <c r="A246" i="42" s="1"/>
  <c r="A247" i="42" s="1"/>
  <c r="A248" i="42" s="1"/>
  <c r="A249" i="42" s="1"/>
  <c r="A250" i="42" s="1"/>
  <c r="A251" i="42" s="1"/>
  <c r="A252" i="42" s="1"/>
  <c r="A253" i="42" s="1"/>
  <c r="A254" i="42" s="1"/>
  <c r="A255" i="42" s="1"/>
  <c r="A256" i="42" s="1"/>
  <c r="A257" i="42" s="1"/>
  <c r="A258" i="42" s="1"/>
  <c r="A259" i="42" s="1"/>
  <c r="A260" i="42" s="1"/>
  <c r="A261" i="42" s="1"/>
  <c r="A262" i="42" s="1"/>
  <c r="A263" i="42" s="1"/>
  <c r="A264" i="42" s="1"/>
  <c r="A265" i="42" s="1"/>
  <c r="A266" i="42" s="1"/>
  <c r="A267" i="42" s="1"/>
  <c r="A268" i="42" s="1"/>
  <c r="A269" i="42" s="1"/>
  <c r="A270" i="42" s="1"/>
  <c r="A271" i="42" s="1"/>
  <c r="A272" i="42" s="1"/>
  <c r="A273" i="42" s="1"/>
  <c r="A274" i="42" s="1"/>
  <c r="A275" i="42" s="1"/>
  <c r="A276" i="42" s="1"/>
  <c r="A277" i="42" s="1"/>
  <c r="A278" i="42" s="1"/>
  <c r="A279" i="42" s="1"/>
  <c r="A280" i="42" s="1"/>
  <c r="A281" i="42" s="1"/>
  <c r="A282" i="42" s="1"/>
  <c r="A283" i="42" s="1"/>
  <c r="A284" i="42" s="1"/>
  <c r="A285" i="42" s="1"/>
  <c r="A286" i="42" s="1"/>
  <c r="A287" i="42" s="1"/>
  <c r="L230" i="42"/>
  <c r="M230" i="42" s="1"/>
  <c r="N230" i="42" s="1"/>
  <c r="O230" i="42" s="1"/>
  <c r="P230" i="42" s="1"/>
  <c r="J230" i="42"/>
  <c r="K230" i="42" s="1"/>
  <c r="L229" i="42"/>
  <c r="M229" i="42" s="1"/>
  <c r="N229" i="42" s="1"/>
  <c r="O229" i="42" s="1"/>
  <c r="P229" i="42" s="1"/>
  <c r="K229" i="42"/>
  <c r="J229" i="42"/>
  <c r="N228" i="42"/>
  <c r="O228" i="42" s="1"/>
  <c r="P228" i="42" s="1"/>
  <c r="L228" i="42"/>
  <c r="M228" i="42" s="1"/>
  <c r="J228" i="42"/>
  <c r="K228" i="42" s="1"/>
  <c r="J227" i="42"/>
  <c r="K227" i="42" s="1"/>
  <c r="L227" i="42" s="1"/>
  <c r="M227" i="42" s="1"/>
  <c r="N227" i="42" s="1"/>
  <c r="O227" i="42" s="1"/>
  <c r="P227" i="42" s="1"/>
  <c r="A227" i="42"/>
  <c r="A228" i="42" s="1"/>
  <c r="A229" i="42" s="1"/>
  <c r="A230" i="42" s="1"/>
  <c r="P226" i="42"/>
  <c r="O226" i="42"/>
  <c r="N226" i="42"/>
  <c r="M226" i="42"/>
  <c r="J226" i="42"/>
  <c r="K226" i="42" s="1"/>
  <c r="L226" i="42" s="1"/>
  <c r="A226" i="42"/>
  <c r="J224" i="42"/>
  <c r="K224" i="42" s="1"/>
  <c r="L224" i="42" s="1"/>
  <c r="M224" i="42" s="1"/>
  <c r="N224" i="42" s="1"/>
  <c r="O224" i="42" s="1"/>
  <c r="P224" i="42" s="1"/>
  <c r="L223" i="42"/>
  <c r="M223" i="42" s="1"/>
  <c r="N223" i="42" s="1"/>
  <c r="O223" i="42" s="1"/>
  <c r="P223" i="42" s="1"/>
  <c r="J223" i="42"/>
  <c r="K223" i="42" s="1"/>
  <c r="A223" i="42"/>
  <c r="A224" i="42" s="1"/>
  <c r="O222" i="42"/>
  <c r="P222" i="42" s="1"/>
  <c r="J222" i="42"/>
  <c r="K222" i="42" s="1"/>
  <c r="L222" i="42" s="1"/>
  <c r="M222" i="42" s="1"/>
  <c r="N222" i="42" s="1"/>
  <c r="A222" i="42"/>
  <c r="L221" i="42"/>
  <c r="M221" i="42" s="1"/>
  <c r="N221" i="42" s="1"/>
  <c r="O221" i="42" s="1"/>
  <c r="P221" i="42" s="1"/>
  <c r="J221" i="42"/>
  <c r="K221" i="42" s="1"/>
  <c r="L220" i="42"/>
  <c r="M220" i="42" s="1"/>
  <c r="N220" i="42" s="1"/>
  <c r="O220" i="42" s="1"/>
  <c r="P220" i="42" s="1"/>
  <c r="K220" i="42"/>
  <c r="J220" i="42"/>
  <c r="A220" i="42"/>
  <c r="A221" i="42" s="1"/>
  <c r="L218" i="42"/>
  <c r="M218" i="42" s="1"/>
  <c r="N218" i="42" s="1"/>
  <c r="O218" i="42" s="1"/>
  <c r="P218" i="42" s="1"/>
  <c r="J218" i="42"/>
  <c r="K218" i="42" s="1"/>
  <c r="J217" i="42"/>
  <c r="K217" i="42" s="1"/>
  <c r="L217" i="42" s="1"/>
  <c r="M217" i="42" s="1"/>
  <c r="N217" i="42" s="1"/>
  <c r="O217" i="42" s="1"/>
  <c r="P217" i="42" s="1"/>
  <c r="J216" i="42"/>
  <c r="K216" i="42" s="1"/>
  <c r="L216" i="42" s="1"/>
  <c r="M216" i="42" s="1"/>
  <c r="N216" i="42" s="1"/>
  <c r="O216" i="42" s="1"/>
  <c r="P216" i="42" s="1"/>
  <c r="A216" i="42"/>
  <c r="A217" i="42" s="1"/>
  <c r="A218" i="42" s="1"/>
  <c r="J215" i="42"/>
  <c r="K215" i="42" s="1"/>
  <c r="L215" i="42" s="1"/>
  <c r="M215" i="42" s="1"/>
  <c r="N215" i="42" s="1"/>
  <c r="O215" i="42" s="1"/>
  <c r="P215" i="42" s="1"/>
  <c r="N214" i="42"/>
  <c r="O214" i="42" s="1"/>
  <c r="P214" i="42" s="1"/>
  <c r="J214" i="42"/>
  <c r="K214" i="42" s="1"/>
  <c r="L214" i="42" s="1"/>
  <c r="M214" i="42" s="1"/>
  <c r="A214" i="42"/>
  <c r="A215" i="42" s="1"/>
  <c r="J213" i="42"/>
  <c r="K213" i="42" s="1"/>
  <c r="L213" i="42" s="1"/>
  <c r="M213" i="42" s="1"/>
  <c r="N213" i="42" s="1"/>
  <c r="O213" i="42" s="1"/>
  <c r="P213" i="42" s="1"/>
  <c r="A213" i="42"/>
  <c r="L212" i="42"/>
  <c r="M212" i="42" s="1"/>
  <c r="N212" i="42" s="1"/>
  <c r="O212" i="42" s="1"/>
  <c r="P212" i="42" s="1"/>
  <c r="J212" i="42"/>
  <c r="K212" i="42" s="1"/>
  <c r="A212" i="42"/>
  <c r="K210" i="42"/>
  <c r="L210" i="42" s="1"/>
  <c r="M210" i="42" s="1"/>
  <c r="N210" i="42" s="1"/>
  <c r="O210" i="42" s="1"/>
  <c r="P210" i="42" s="1"/>
  <c r="J210" i="42"/>
  <c r="P209" i="42"/>
  <c r="O208" i="42"/>
  <c r="P208" i="42" s="1"/>
  <c r="J208" i="42"/>
  <c r="K208" i="42" s="1"/>
  <c r="L208" i="42" s="1"/>
  <c r="M208" i="42" s="1"/>
  <c r="N208" i="42" s="1"/>
  <c r="J207" i="42"/>
  <c r="K207" i="42" s="1"/>
  <c r="L207" i="42" s="1"/>
  <c r="M207" i="42" s="1"/>
  <c r="N207" i="42" s="1"/>
  <c r="O207" i="42" s="1"/>
  <c r="P207" i="42" s="1"/>
  <c r="K206" i="42"/>
  <c r="L206" i="42" s="1"/>
  <c r="M206" i="42" s="1"/>
  <c r="N206" i="42" s="1"/>
  <c r="O206" i="42" s="1"/>
  <c r="P206" i="42" s="1"/>
  <c r="J206" i="42"/>
  <c r="A206" i="42"/>
  <c r="A207" i="42" s="1"/>
  <c r="A208" i="42" s="1"/>
  <c r="A209" i="42" s="1"/>
  <c r="A210" i="42" s="1"/>
  <c r="O205" i="42"/>
  <c r="P205" i="42" s="1"/>
  <c r="J205" i="42"/>
  <c r="K205" i="42" s="1"/>
  <c r="L205" i="42" s="1"/>
  <c r="M205" i="42" s="1"/>
  <c r="N205" i="42" s="1"/>
  <c r="A205" i="42"/>
  <c r="L203" i="42"/>
  <c r="M203" i="42" s="1"/>
  <c r="N203" i="42" s="1"/>
  <c r="O203" i="42" s="1"/>
  <c r="P203" i="42" s="1"/>
  <c r="K203" i="42"/>
  <c r="J203" i="42"/>
  <c r="A203" i="42"/>
  <c r="K202" i="42"/>
  <c r="L202" i="42" s="1"/>
  <c r="M202" i="42" s="1"/>
  <c r="N202" i="42" s="1"/>
  <c r="O202" i="42" s="1"/>
  <c r="P202" i="42" s="1"/>
  <c r="J202" i="42"/>
  <c r="J201" i="42"/>
  <c r="K201" i="42" s="1"/>
  <c r="L201" i="42" s="1"/>
  <c r="M201" i="42" s="1"/>
  <c r="N201" i="42" s="1"/>
  <c r="O201" i="42" s="1"/>
  <c r="P201" i="42" s="1"/>
  <c r="L200" i="42"/>
  <c r="M200" i="42" s="1"/>
  <c r="N200" i="42" s="1"/>
  <c r="O200" i="42" s="1"/>
  <c r="P200" i="42" s="1"/>
  <c r="J200" i="42"/>
  <c r="K200" i="42" s="1"/>
  <c r="A200" i="42"/>
  <c r="A201" i="42" s="1"/>
  <c r="A202" i="42" s="1"/>
  <c r="J198" i="42"/>
  <c r="K198" i="42" s="1"/>
  <c r="L198" i="42" s="1"/>
  <c r="M198" i="42" s="1"/>
  <c r="N198" i="42" s="1"/>
  <c r="O198" i="42" s="1"/>
  <c r="P198" i="42" s="1"/>
  <c r="K197" i="42"/>
  <c r="L197" i="42" s="1"/>
  <c r="M197" i="42" s="1"/>
  <c r="N197" i="42" s="1"/>
  <c r="O197" i="42" s="1"/>
  <c r="P197" i="42" s="1"/>
  <c r="J197" i="42"/>
  <c r="P196" i="42"/>
  <c r="O196" i="42"/>
  <c r="N196" i="42"/>
  <c r="L196" i="42"/>
  <c r="M196" i="42" s="1"/>
  <c r="K196" i="42"/>
  <c r="J196" i="42"/>
  <c r="J195" i="42"/>
  <c r="K195" i="42" s="1"/>
  <c r="L195" i="42" s="1"/>
  <c r="M195" i="42" s="1"/>
  <c r="N195" i="42" s="1"/>
  <c r="O195" i="42" s="1"/>
  <c r="P195" i="42" s="1"/>
  <c r="K194" i="42"/>
  <c r="L194" i="42" s="1"/>
  <c r="M194" i="42" s="1"/>
  <c r="N194" i="42" s="1"/>
  <c r="O194" i="42" s="1"/>
  <c r="P194" i="42" s="1"/>
  <c r="J194" i="42"/>
  <c r="L193" i="42"/>
  <c r="M193" i="42" s="1"/>
  <c r="N193" i="42" s="1"/>
  <c r="O193" i="42" s="1"/>
  <c r="P193" i="42" s="1"/>
  <c r="J193" i="42"/>
  <c r="K193" i="42" s="1"/>
  <c r="A193" i="42"/>
  <c r="A194" i="42" s="1"/>
  <c r="A195" i="42" s="1"/>
  <c r="A196" i="42" s="1"/>
  <c r="A197" i="42" s="1"/>
  <c r="A198" i="42" s="1"/>
  <c r="J191" i="42"/>
  <c r="K191" i="42" s="1"/>
  <c r="L191" i="42" s="1"/>
  <c r="M191" i="42" s="1"/>
  <c r="N191" i="42" s="1"/>
  <c r="O191" i="42" s="1"/>
  <c r="P191" i="42" s="1"/>
  <c r="K190" i="42"/>
  <c r="L190" i="42" s="1"/>
  <c r="M190" i="42" s="1"/>
  <c r="N190" i="42" s="1"/>
  <c r="O190" i="42" s="1"/>
  <c r="P190" i="42" s="1"/>
  <c r="J190" i="42"/>
  <c r="A190" i="42"/>
  <c r="A191" i="42" s="1"/>
  <c r="J189" i="42"/>
  <c r="K189" i="42" s="1"/>
  <c r="L189" i="42" s="1"/>
  <c r="M189" i="42" s="1"/>
  <c r="N189" i="42" s="1"/>
  <c r="O189" i="42" s="1"/>
  <c r="P189" i="42" s="1"/>
  <c r="A189" i="42"/>
  <c r="K187" i="42"/>
  <c r="L187" i="42" s="1"/>
  <c r="M187" i="42" s="1"/>
  <c r="N187" i="42" s="1"/>
  <c r="O187" i="42" s="1"/>
  <c r="P187" i="42" s="1"/>
  <c r="J187" i="42"/>
  <c r="K186" i="42"/>
  <c r="L186" i="42" s="1"/>
  <c r="M186" i="42" s="1"/>
  <c r="N186" i="42" s="1"/>
  <c r="O186" i="42" s="1"/>
  <c r="P186" i="42" s="1"/>
  <c r="J186" i="42"/>
  <c r="A186" i="42"/>
  <c r="A187" i="42" s="1"/>
  <c r="O185" i="42"/>
  <c r="P185" i="42" s="1"/>
  <c r="M185" i="42"/>
  <c r="N185" i="42" s="1"/>
  <c r="L185" i="42"/>
  <c r="K185" i="42"/>
  <c r="J185" i="42"/>
  <c r="A185" i="42"/>
  <c r="J183" i="42"/>
  <c r="K183" i="42" s="1"/>
  <c r="L183" i="42" s="1"/>
  <c r="M183" i="42" s="1"/>
  <c r="N183" i="42" s="1"/>
  <c r="O183" i="42" s="1"/>
  <c r="P183" i="42" s="1"/>
  <c r="K182" i="42"/>
  <c r="L182" i="42" s="1"/>
  <c r="M182" i="42" s="1"/>
  <c r="N182" i="42" s="1"/>
  <c r="O182" i="42" s="1"/>
  <c r="P182" i="42" s="1"/>
  <c r="J182" i="42"/>
  <c r="A182" i="42"/>
  <c r="A183" i="42" s="1"/>
  <c r="P180" i="42"/>
  <c r="O180" i="42"/>
  <c r="N180" i="42"/>
  <c r="L180" i="42"/>
  <c r="M180" i="42" s="1"/>
  <c r="J180" i="42"/>
  <c r="K180" i="42" s="1"/>
  <c r="K179" i="42"/>
  <c r="L179" i="42" s="1"/>
  <c r="M179" i="42" s="1"/>
  <c r="N179" i="42" s="1"/>
  <c r="O179" i="42" s="1"/>
  <c r="P179" i="42" s="1"/>
  <c r="J179" i="42"/>
  <c r="A179" i="42"/>
  <c r="A180" i="42" s="1"/>
  <c r="K178" i="42"/>
  <c r="L178" i="42" s="1"/>
  <c r="M178" i="42" s="1"/>
  <c r="N178" i="42" s="1"/>
  <c r="O178" i="42" s="1"/>
  <c r="P178" i="42" s="1"/>
  <c r="J178" i="42"/>
  <c r="A178" i="42"/>
  <c r="J176" i="42"/>
  <c r="K176" i="42" s="1"/>
  <c r="L176" i="42" s="1"/>
  <c r="M176" i="42" s="1"/>
  <c r="N176" i="42" s="1"/>
  <c r="O176" i="42" s="1"/>
  <c r="P176" i="42" s="1"/>
  <c r="J175" i="42"/>
  <c r="K175" i="42" s="1"/>
  <c r="L175" i="42" s="1"/>
  <c r="M175" i="42" s="1"/>
  <c r="N175" i="42" s="1"/>
  <c r="O175" i="42" s="1"/>
  <c r="P175" i="42" s="1"/>
  <c r="K174" i="42"/>
  <c r="L174" i="42" s="1"/>
  <c r="M174" i="42" s="1"/>
  <c r="N174" i="42" s="1"/>
  <c r="O174" i="42" s="1"/>
  <c r="P174" i="42" s="1"/>
  <c r="J174" i="42"/>
  <c r="O173" i="42"/>
  <c r="P173" i="42" s="1"/>
  <c r="J173" i="42"/>
  <c r="K173" i="42" s="1"/>
  <c r="L173" i="42" s="1"/>
  <c r="M173" i="42" s="1"/>
  <c r="N173" i="42" s="1"/>
  <c r="A173" i="42"/>
  <c r="A174" i="42" s="1"/>
  <c r="A175" i="42" s="1"/>
  <c r="A176" i="42" s="1"/>
  <c r="M171" i="42"/>
  <c r="N171" i="42" s="1"/>
  <c r="O171" i="42" s="1"/>
  <c r="P171" i="42" s="1"/>
  <c r="L171" i="42"/>
  <c r="K171" i="42"/>
  <c r="J171" i="42"/>
  <c r="J170" i="42"/>
  <c r="K170" i="42" s="1"/>
  <c r="L170" i="42" s="1"/>
  <c r="M170" i="42" s="1"/>
  <c r="N170" i="42" s="1"/>
  <c r="O170" i="42" s="1"/>
  <c r="P170" i="42" s="1"/>
  <c r="L169" i="42"/>
  <c r="M169" i="42" s="1"/>
  <c r="N169" i="42" s="1"/>
  <c r="O169" i="42" s="1"/>
  <c r="P169" i="42" s="1"/>
  <c r="K169" i="42"/>
  <c r="J169" i="42"/>
  <c r="J168" i="42"/>
  <c r="K168" i="42" s="1"/>
  <c r="L168" i="42" s="1"/>
  <c r="M168" i="42" s="1"/>
  <c r="N168" i="42" s="1"/>
  <c r="O168" i="42" s="1"/>
  <c r="P168" i="42" s="1"/>
  <c r="J167" i="42"/>
  <c r="K167" i="42" s="1"/>
  <c r="L167" i="42" s="1"/>
  <c r="M167" i="42" s="1"/>
  <c r="N167" i="42" s="1"/>
  <c r="O167" i="42" s="1"/>
  <c r="P167" i="42" s="1"/>
  <c r="N166" i="42"/>
  <c r="O166" i="42" s="1"/>
  <c r="P166" i="42" s="1"/>
  <c r="L166" i="42"/>
  <c r="M166" i="42" s="1"/>
  <c r="K166" i="42"/>
  <c r="J166" i="42"/>
  <c r="J165" i="42"/>
  <c r="K165" i="42" s="1"/>
  <c r="L165" i="42" s="1"/>
  <c r="M165" i="42" s="1"/>
  <c r="N165" i="42" s="1"/>
  <c r="O165" i="42" s="1"/>
  <c r="P165" i="42" s="1"/>
  <c r="A165" i="42"/>
  <c r="A166" i="42" s="1"/>
  <c r="A167" i="42" s="1"/>
  <c r="A168" i="42" s="1"/>
  <c r="A169" i="42" s="1"/>
  <c r="A170" i="42" s="1"/>
  <c r="A171" i="42" s="1"/>
  <c r="K164" i="42"/>
  <c r="L164" i="42" s="1"/>
  <c r="M164" i="42" s="1"/>
  <c r="N164" i="42" s="1"/>
  <c r="O164" i="42" s="1"/>
  <c r="P164" i="42" s="1"/>
  <c r="J164" i="42"/>
  <c r="A164" i="42"/>
  <c r="L162" i="42"/>
  <c r="M162" i="42" s="1"/>
  <c r="N162" i="42" s="1"/>
  <c r="O162" i="42" s="1"/>
  <c r="P162" i="42" s="1"/>
  <c r="K162" i="42"/>
  <c r="J162" i="42"/>
  <c r="K161" i="42"/>
  <c r="L161" i="42" s="1"/>
  <c r="M161" i="42" s="1"/>
  <c r="N161" i="42" s="1"/>
  <c r="O161" i="42" s="1"/>
  <c r="P161" i="42" s="1"/>
  <c r="J161" i="42"/>
  <c r="A161" i="42"/>
  <c r="A162" i="42" s="1"/>
  <c r="N160" i="42"/>
  <c r="O160" i="42" s="1"/>
  <c r="P160" i="42" s="1"/>
  <c r="M160" i="42"/>
  <c r="K160" i="42"/>
  <c r="L160" i="42" s="1"/>
  <c r="J160" i="42"/>
  <c r="J159" i="42"/>
  <c r="K159" i="42" s="1"/>
  <c r="L159" i="42" s="1"/>
  <c r="M159" i="42" s="1"/>
  <c r="N159" i="42" s="1"/>
  <c r="O159" i="42" s="1"/>
  <c r="P159" i="42" s="1"/>
  <c r="J158" i="42"/>
  <c r="K158" i="42" s="1"/>
  <c r="L158" i="42" s="1"/>
  <c r="M158" i="42" s="1"/>
  <c r="N158" i="42" s="1"/>
  <c r="O158" i="42" s="1"/>
  <c r="P158" i="42" s="1"/>
  <c r="N157" i="42"/>
  <c r="O157" i="42" s="1"/>
  <c r="P157" i="42" s="1"/>
  <c r="L157" i="42"/>
  <c r="M157" i="42" s="1"/>
  <c r="J157" i="42"/>
  <c r="K157" i="42" s="1"/>
  <c r="K156" i="42"/>
  <c r="L156" i="42" s="1"/>
  <c r="M156" i="42" s="1"/>
  <c r="N156" i="42" s="1"/>
  <c r="O156" i="42" s="1"/>
  <c r="P156" i="42" s="1"/>
  <c r="J156" i="42"/>
  <c r="J155" i="42"/>
  <c r="K155" i="42" s="1"/>
  <c r="L155" i="42" s="1"/>
  <c r="M155" i="42" s="1"/>
  <c r="N155" i="42" s="1"/>
  <c r="O155" i="42" s="1"/>
  <c r="P155" i="42" s="1"/>
  <c r="A155" i="42"/>
  <c r="A156" i="42" s="1"/>
  <c r="A157" i="42" s="1"/>
  <c r="A158" i="42" s="1"/>
  <c r="A159" i="42" s="1"/>
  <c r="A160" i="42" s="1"/>
  <c r="O154" i="42"/>
  <c r="P154" i="42" s="1"/>
  <c r="N154" i="42"/>
  <c r="K154" i="42"/>
  <c r="L154" i="42" s="1"/>
  <c r="M154" i="42" s="1"/>
  <c r="J154" i="42"/>
  <c r="A154" i="42"/>
  <c r="J152" i="42"/>
  <c r="K152" i="42" s="1"/>
  <c r="L152" i="42" s="1"/>
  <c r="M152" i="42" s="1"/>
  <c r="N152" i="42" s="1"/>
  <c r="O152" i="42" s="1"/>
  <c r="P152" i="42" s="1"/>
  <c r="N151" i="42"/>
  <c r="O151" i="42" s="1"/>
  <c r="P151" i="42" s="1"/>
  <c r="J151" i="42"/>
  <c r="K151" i="42" s="1"/>
  <c r="L151" i="42" s="1"/>
  <c r="M151" i="42" s="1"/>
  <c r="J150" i="42"/>
  <c r="K150" i="42" s="1"/>
  <c r="L150" i="42" s="1"/>
  <c r="M150" i="42" s="1"/>
  <c r="N150" i="42" s="1"/>
  <c r="O150" i="42" s="1"/>
  <c r="P150" i="42" s="1"/>
  <c r="L149" i="42"/>
  <c r="M149" i="42" s="1"/>
  <c r="N149" i="42" s="1"/>
  <c r="O149" i="42" s="1"/>
  <c r="P149" i="42" s="1"/>
  <c r="K149" i="42"/>
  <c r="J149" i="42"/>
  <c r="N148" i="42"/>
  <c r="O148" i="42" s="1"/>
  <c r="P148" i="42" s="1"/>
  <c r="L148" i="42"/>
  <c r="M148" i="42" s="1"/>
  <c r="K148" i="42"/>
  <c r="J148" i="42"/>
  <c r="K147" i="42"/>
  <c r="L147" i="42" s="1"/>
  <c r="M147" i="42" s="1"/>
  <c r="N147" i="42" s="1"/>
  <c r="O147" i="42" s="1"/>
  <c r="P147" i="42" s="1"/>
  <c r="J147" i="42"/>
  <c r="J146" i="42"/>
  <c r="K146" i="42" s="1"/>
  <c r="L146" i="42" s="1"/>
  <c r="M146" i="42" s="1"/>
  <c r="N146" i="42" s="1"/>
  <c r="O146" i="42" s="1"/>
  <c r="P146" i="42" s="1"/>
  <c r="J145" i="42"/>
  <c r="K145" i="42" s="1"/>
  <c r="L145" i="42" s="1"/>
  <c r="M145" i="42" s="1"/>
  <c r="N145" i="42" s="1"/>
  <c r="O145" i="42" s="1"/>
  <c r="P145" i="42" s="1"/>
  <c r="J144" i="42"/>
  <c r="K144" i="42" s="1"/>
  <c r="L144" i="42" s="1"/>
  <c r="M144" i="42" s="1"/>
  <c r="N144" i="42" s="1"/>
  <c r="O144" i="42" s="1"/>
  <c r="P144" i="42" s="1"/>
  <c r="A144" i="42"/>
  <c r="A145" i="42" s="1"/>
  <c r="A146" i="42" s="1"/>
  <c r="A147" i="42" s="1"/>
  <c r="A148" i="42" s="1"/>
  <c r="A149" i="42" s="1"/>
  <c r="A150" i="42" s="1"/>
  <c r="A151" i="42" s="1"/>
  <c r="A152" i="42" s="1"/>
  <c r="N143" i="42"/>
  <c r="O143" i="42" s="1"/>
  <c r="P143" i="42" s="1"/>
  <c r="L143" i="42"/>
  <c r="M143" i="42" s="1"/>
  <c r="K143" i="42"/>
  <c r="J143" i="42"/>
  <c r="K142" i="42"/>
  <c r="L142" i="42" s="1"/>
  <c r="M142" i="42" s="1"/>
  <c r="N142" i="42" s="1"/>
  <c r="O142" i="42" s="1"/>
  <c r="P142" i="42" s="1"/>
  <c r="J142" i="42"/>
  <c r="A142" i="42"/>
  <c r="A143" i="42" s="1"/>
  <c r="J140" i="42"/>
  <c r="K140" i="42" s="1"/>
  <c r="L140" i="42" s="1"/>
  <c r="M140" i="42" s="1"/>
  <c r="N140" i="42" s="1"/>
  <c r="O140" i="42" s="1"/>
  <c r="P140" i="42" s="1"/>
  <c r="K139" i="42"/>
  <c r="L139" i="42" s="1"/>
  <c r="M139" i="42" s="1"/>
  <c r="N139" i="42" s="1"/>
  <c r="O139" i="42" s="1"/>
  <c r="P139" i="42" s="1"/>
  <c r="J139" i="42"/>
  <c r="J138" i="42"/>
  <c r="K138" i="42" s="1"/>
  <c r="L138" i="42" s="1"/>
  <c r="M138" i="42" s="1"/>
  <c r="N138" i="42" s="1"/>
  <c r="O138" i="42" s="1"/>
  <c r="P138" i="42" s="1"/>
  <c r="K137" i="42"/>
  <c r="L137" i="42" s="1"/>
  <c r="M137" i="42" s="1"/>
  <c r="N137" i="42" s="1"/>
  <c r="O137" i="42" s="1"/>
  <c r="P137" i="42" s="1"/>
  <c r="J137" i="42"/>
  <c r="J136" i="42"/>
  <c r="K136" i="42" s="1"/>
  <c r="L136" i="42" s="1"/>
  <c r="M136" i="42" s="1"/>
  <c r="N136" i="42" s="1"/>
  <c r="O136" i="42" s="1"/>
  <c r="P136" i="42" s="1"/>
  <c r="L135" i="42"/>
  <c r="M135" i="42" s="1"/>
  <c r="N135" i="42" s="1"/>
  <c r="O135" i="42" s="1"/>
  <c r="P135" i="42" s="1"/>
  <c r="J135" i="42"/>
  <c r="K135" i="42" s="1"/>
  <c r="J134" i="42"/>
  <c r="K134" i="42" s="1"/>
  <c r="L134" i="42" s="1"/>
  <c r="M134" i="42" s="1"/>
  <c r="N134" i="42" s="1"/>
  <c r="O134" i="42" s="1"/>
  <c r="P134" i="42" s="1"/>
  <c r="K133" i="42"/>
  <c r="L133" i="42" s="1"/>
  <c r="M133" i="42" s="1"/>
  <c r="N133" i="42" s="1"/>
  <c r="O133" i="42" s="1"/>
  <c r="P133" i="42" s="1"/>
  <c r="J133" i="42"/>
  <c r="A133" i="42"/>
  <c r="A134" i="42" s="1"/>
  <c r="A135" i="42" s="1"/>
  <c r="A136" i="42" s="1"/>
  <c r="A137" i="42" s="1"/>
  <c r="A138" i="42" s="1"/>
  <c r="A139" i="42" s="1"/>
  <c r="A140" i="42" s="1"/>
  <c r="L132" i="42"/>
  <c r="M132" i="42" s="1"/>
  <c r="N132" i="42" s="1"/>
  <c r="O132" i="42" s="1"/>
  <c r="P132" i="42" s="1"/>
  <c r="J132" i="42"/>
  <c r="K132" i="42" s="1"/>
  <c r="A132" i="42"/>
  <c r="J131" i="42"/>
  <c r="K131" i="42" s="1"/>
  <c r="L131" i="42" s="1"/>
  <c r="M131" i="42" s="1"/>
  <c r="N131" i="42" s="1"/>
  <c r="O131" i="42" s="1"/>
  <c r="P131" i="42" s="1"/>
  <c r="J130" i="42"/>
  <c r="K130" i="42" s="1"/>
  <c r="L130" i="42" s="1"/>
  <c r="M130" i="42" s="1"/>
  <c r="N130" i="42" s="1"/>
  <c r="O130" i="42" s="1"/>
  <c r="P130" i="42" s="1"/>
  <c r="A130" i="42"/>
  <c r="A131" i="42" s="1"/>
  <c r="K128" i="42"/>
  <c r="L128" i="42" s="1"/>
  <c r="M128" i="42" s="1"/>
  <c r="N128" i="42" s="1"/>
  <c r="O128" i="42" s="1"/>
  <c r="P128" i="42" s="1"/>
  <c r="J128" i="42"/>
  <c r="J127" i="42"/>
  <c r="K127" i="42" s="1"/>
  <c r="L127" i="42" s="1"/>
  <c r="M127" i="42" s="1"/>
  <c r="N127" i="42" s="1"/>
  <c r="O127" i="42" s="1"/>
  <c r="P127" i="42" s="1"/>
  <c r="K126" i="42"/>
  <c r="L126" i="42" s="1"/>
  <c r="M126" i="42" s="1"/>
  <c r="N126" i="42" s="1"/>
  <c r="O126" i="42" s="1"/>
  <c r="P126" i="42" s="1"/>
  <c r="J126" i="42"/>
  <c r="J125" i="42"/>
  <c r="K125" i="42" s="1"/>
  <c r="L125" i="42" s="1"/>
  <c r="M125" i="42" s="1"/>
  <c r="N125" i="42" s="1"/>
  <c r="O125" i="42" s="1"/>
  <c r="P125" i="42" s="1"/>
  <c r="K124" i="42"/>
  <c r="L124" i="42" s="1"/>
  <c r="M124" i="42" s="1"/>
  <c r="N124" i="42" s="1"/>
  <c r="O124" i="42" s="1"/>
  <c r="P124" i="42" s="1"/>
  <c r="J124" i="42"/>
  <c r="O123" i="42"/>
  <c r="P123" i="42" s="1"/>
  <c r="M123" i="42"/>
  <c r="N123" i="42" s="1"/>
  <c r="K123" i="42"/>
  <c r="L123" i="42" s="1"/>
  <c r="J123" i="42"/>
  <c r="K122" i="42"/>
  <c r="L122" i="42" s="1"/>
  <c r="M122" i="42" s="1"/>
  <c r="N122" i="42" s="1"/>
  <c r="O122" i="42" s="1"/>
  <c r="P122" i="42" s="1"/>
  <c r="J122" i="42"/>
  <c r="K121" i="42"/>
  <c r="L121" i="42" s="1"/>
  <c r="M121" i="42" s="1"/>
  <c r="N121" i="42" s="1"/>
  <c r="O121" i="42" s="1"/>
  <c r="P121" i="42" s="1"/>
  <c r="J121" i="42"/>
  <c r="J120" i="42"/>
  <c r="K120" i="42" s="1"/>
  <c r="L120" i="42" s="1"/>
  <c r="M120" i="42" s="1"/>
  <c r="N120" i="42" s="1"/>
  <c r="O120" i="42" s="1"/>
  <c r="P120" i="42" s="1"/>
  <c r="J119" i="42"/>
  <c r="K119" i="42" s="1"/>
  <c r="L119" i="42" s="1"/>
  <c r="M119" i="42" s="1"/>
  <c r="N119" i="42" s="1"/>
  <c r="O119" i="42" s="1"/>
  <c r="P119" i="42" s="1"/>
  <c r="A119" i="42"/>
  <c r="A120" i="42" s="1"/>
  <c r="A121" i="42" s="1"/>
  <c r="A122" i="42" s="1"/>
  <c r="A123" i="42" s="1"/>
  <c r="A124" i="42" s="1"/>
  <c r="A125" i="42" s="1"/>
  <c r="A126" i="42" s="1"/>
  <c r="A127" i="42" s="1"/>
  <c r="A128" i="42" s="1"/>
  <c r="K118" i="42"/>
  <c r="L118" i="42" s="1"/>
  <c r="M118" i="42" s="1"/>
  <c r="N118" i="42" s="1"/>
  <c r="O118" i="42" s="1"/>
  <c r="P118" i="42" s="1"/>
  <c r="J118" i="42"/>
  <c r="A118" i="42"/>
  <c r="J116" i="42"/>
  <c r="K116" i="42" s="1"/>
  <c r="L116" i="42" s="1"/>
  <c r="M116" i="42" s="1"/>
  <c r="N116" i="42" s="1"/>
  <c r="O116" i="42" s="1"/>
  <c r="P116" i="42" s="1"/>
  <c r="N115" i="42"/>
  <c r="O115" i="42" s="1"/>
  <c r="P115" i="42" s="1"/>
  <c r="L115" i="42"/>
  <c r="M115" i="42" s="1"/>
  <c r="K115" i="42"/>
  <c r="J115" i="42"/>
  <c r="J114" i="42"/>
  <c r="K114" i="42" s="1"/>
  <c r="L114" i="42" s="1"/>
  <c r="M114" i="42" s="1"/>
  <c r="N114" i="42" s="1"/>
  <c r="O114" i="42" s="1"/>
  <c r="P114" i="42" s="1"/>
  <c r="K113" i="42"/>
  <c r="L113" i="42" s="1"/>
  <c r="M113" i="42" s="1"/>
  <c r="N113" i="42" s="1"/>
  <c r="O113" i="42" s="1"/>
  <c r="P113" i="42" s="1"/>
  <c r="J113" i="42"/>
  <c r="J112" i="42"/>
  <c r="K112" i="42" s="1"/>
  <c r="L112" i="42" s="1"/>
  <c r="M112" i="42" s="1"/>
  <c r="N112" i="42" s="1"/>
  <c r="O112" i="42" s="1"/>
  <c r="P112" i="42" s="1"/>
  <c r="K111" i="42"/>
  <c r="L111" i="42" s="1"/>
  <c r="M111" i="42" s="1"/>
  <c r="N111" i="42" s="1"/>
  <c r="O111" i="42" s="1"/>
  <c r="P111" i="42" s="1"/>
  <c r="J111" i="42"/>
  <c r="M110" i="42"/>
  <c r="N110" i="42" s="1"/>
  <c r="O110" i="42" s="1"/>
  <c r="P110" i="42" s="1"/>
  <c r="L110" i="42"/>
  <c r="J110" i="42"/>
  <c r="K110" i="42" s="1"/>
  <c r="K109" i="42"/>
  <c r="L109" i="42" s="1"/>
  <c r="M109" i="42" s="1"/>
  <c r="N109" i="42" s="1"/>
  <c r="O109" i="42" s="1"/>
  <c r="P109" i="42" s="1"/>
  <c r="J109" i="42"/>
  <c r="K108" i="42"/>
  <c r="L108" i="42" s="1"/>
  <c r="M108" i="42" s="1"/>
  <c r="N108" i="42" s="1"/>
  <c r="O108" i="42" s="1"/>
  <c r="P108" i="42" s="1"/>
  <c r="J108" i="42"/>
  <c r="J107" i="42"/>
  <c r="K107" i="42" s="1"/>
  <c r="L107" i="42" s="1"/>
  <c r="M107" i="42" s="1"/>
  <c r="N107" i="42" s="1"/>
  <c r="O107" i="42" s="1"/>
  <c r="P107" i="42" s="1"/>
  <c r="A107" i="42"/>
  <c r="A108" i="42" s="1"/>
  <c r="A109" i="42" s="1"/>
  <c r="A110" i="42" s="1"/>
  <c r="A111" i="42" s="1"/>
  <c r="A112" i="42" s="1"/>
  <c r="A113" i="42" s="1"/>
  <c r="A114" i="42" s="1"/>
  <c r="A115" i="42" s="1"/>
  <c r="A116" i="42" s="1"/>
  <c r="O106" i="42"/>
  <c r="P106" i="42" s="1"/>
  <c r="J106" i="42"/>
  <c r="K106" i="42" s="1"/>
  <c r="L106" i="42" s="1"/>
  <c r="M106" i="42" s="1"/>
  <c r="N106" i="42" s="1"/>
  <c r="A106" i="42"/>
  <c r="J104" i="42"/>
  <c r="K104" i="42" s="1"/>
  <c r="L104" i="42" s="1"/>
  <c r="M104" i="42" s="1"/>
  <c r="N104" i="42" s="1"/>
  <c r="O104" i="42" s="1"/>
  <c r="P104" i="42" s="1"/>
  <c r="M103" i="42"/>
  <c r="N103" i="42" s="1"/>
  <c r="O103" i="42" s="1"/>
  <c r="P103" i="42" s="1"/>
  <c r="L103" i="42"/>
  <c r="K103" i="42"/>
  <c r="J103" i="42"/>
  <c r="J102" i="42"/>
  <c r="K102" i="42" s="1"/>
  <c r="L102" i="42" s="1"/>
  <c r="M102" i="42" s="1"/>
  <c r="N102" i="42" s="1"/>
  <c r="O102" i="42" s="1"/>
  <c r="P102" i="42" s="1"/>
  <c r="M101" i="42"/>
  <c r="N101" i="42" s="1"/>
  <c r="O101" i="42" s="1"/>
  <c r="P101" i="42" s="1"/>
  <c r="K101" i="42"/>
  <c r="L101" i="42" s="1"/>
  <c r="J101" i="42"/>
  <c r="J100" i="42"/>
  <c r="K100" i="42" s="1"/>
  <c r="L100" i="42" s="1"/>
  <c r="M100" i="42" s="1"/>
  <c r="N100" i="42" s="1"/>
  <c r="O100" i="42" s="1"/>
  <c r="P100" i="42" s="1"/>
  <c r="J99" i="42"/>
  <c r="K99" i="42" s="1"/>
  <c r="L99" i="42" s="1"/>
  <c r="M99" i="42" s="1"/>
  <c r="N99" i="42" s="1"/>
  <c r="O99" i="42" s="1"/>
  <c r="P99" i="42" s="1"/>
  <c r="J98" i="42"/>
  <c r="K98" i="42" s="1"/>
  <c r="L98" i="42" s="1"/>
  <c r="M98" i="42" s="1"/>
  <c r="N98" i="42" s="1"/>
  <c r="O98" i="42" s="1"/>
  <c r="P98" i="42" s="1"/>
  <c r="J97" i="42"/>
  <c r="K97" i="42" s="1"/>
  <c r="L97" i="42" s="1"/>
  <c r="M97" i="42" s="1"/>
  <c r="N97" i="42" s="1"/>
  <c r="O97" i="42" s="1"/>
  <c r="P97" i="42" s="1"/>
  <c r="A97" i="42"/>
  <c r="A98" i="42" s="1"/>
  <c r="A99" i="42" s="1"/>
  <c r="A100" i="42" s="1"/>
  <c r="A101" i="42" s="1"/>
  <c r="A102" i="42" s="1"/>
  <c r="A103" i="42" s="1"/>
  <c r="A104" i="42" s="1"/>
  <c r="J95" i="42"/>
  <c r="K95" i="42" s="1"/>
  <c r="L95" i="42" s="1"/>
  <c r="M95" i="42" s="1"/>
  <c r="N95" i="42" s="1"/>
  <c r="O95" i="42" s="1"/>
  <c r="P95" i="42" s="1"/>
  <c r="K94" i="42"/>
  <c r="L94" i="42" s="1"/>
  <c r="M94" i="42" s="1"/>
  <c r="N94" i="42" s="1"/>
  <c r="O94" i="42" s="1"/>
  <c r="P94" i="42" s="1"/>
  <c r="J94" i="42"/>
  <c r="J93" i="42"/>
  <c r="K93" i="42" s="1"/>
  <c r="L93" i="42" s="1"/>
  <c r="M93" i="42" s="1"/>
  <c r="N93" i="42" s="1"/>
  <c r="O93" i="42" s="1"/>
  <c r="P93" i="42" s="1"/>
  <c r="J92" i="42"/>
  <c r="K92" i="42" s="1"/>
  <c r="L92" i="42" s="1"/>
  <c r="M92" i="42" s="1"/>
  <c r="N92" i="42" s="1"/>
  <c r="O92" i="42" s="1"/>
  <c r="P92" i="42" s="1"/>
  <c r="A92" i="42"/>
  <c r="A93" i="42" s="1"/>
  <c r="A94" i="42" s="1"/>
  <c r="A95" i="42" s="1"/>
  <c r="J91" i="42"/>
  <c r="K91" i="42" s="1"/>
  <c r="L91" i="42" s="1"/>
  <c r="M91" i="42" s="1"/>
  <c r="N91" i="42" s="1"/>
  <c r="O91" i="42" s="1"/>
  <c r="P91" i="42" s="1"/>
  <c r="A91" i="42"/>
  <c r="K89" i="42"/>
  <c r="L89" i="42" s="1"/>
  <c r="M89" i="42" s="1"/>
  <c r="N89" i="42" s="1"/>
  <c r="O89" i="42" s="1"/>
  <c r="P89" i="42" s="1"/>
  <c r="J89" i="42"/>
  <c r="J88" i="42"/>
  <c r="K88" i="42" s="1"/>
  <c r="L88" i="42" s="1"/>
  <c r="M88" i="42" s="1"/>
  <c r="N88" i="42" s="1"/>
  <c r="O88" i="42" s="1"/>
  <c r="P88" i="42" s="1"/>
  <c r="L87" i="42"/>
  <c r="M87" i="42" s="1"/>
  <c r="N87" i="42" s="1"/>
  <c r="O87" i="42" s="1"/>
  <c r="P87" i="42" s="1"/>
  <c r="K87" i="42"/>
  <c r="J87" i="42"/>
  <c r="J86" i="42"/>
  <c r="K86" i="42" s="1"/>
  <c r="L86" i="42" s="1"/>
  <c r="M86" i="42" s="1"/>
  <c r="N86" i="42" s="1"/>
  <c r="O86" i="42" s="1"/>
  <c r="P86" i="42" s="1"/>
  <c r="K85" i="42"/>
  <c r="L85" i="42" s="1"/>
  <c r="M85" i="42" s="1"/>
  <c r="N85" i="42" s="1"/>
  <c r="O85" i="42" s="1"/>
  <c r="P85" i="42" s="1"/>
  <c r="J85" i="42"/>
  <c r="A85" i="42"/>
  <c r="A86" i="42" s="1"/>
  <c r="A87" i="42" s="1"/>
  <c r="A88" i="42" s="1"/>
  <c r="A89" i="42" s="1"/>
  <c r="J84" i="42"/>
  <c r="K84" i="42" s="1"/>
  <c r="L84" i="42" s="1"/>
  <c r="M84" i="42" s="1"/>
  <c r="N84" i="42" s="1"/>
  <c r="O84" i="42" s="1"/>
  <c r="P84" i="42" s="1"/>
  <c r="A84" i="42"/>
  <c r="K82" i="42"/>
  <c r="L82" i="42" s="1"/>
  <c r="M82" i="42" s="1"/>
  <c r="N82" i="42" s="1"/>
  <c r="O82" i="42" s="1"/>
  <c r="P82" i="42" s="1"/>
  <c r="J82" i="42"/>
  <c r="J81" i="42"/>
  <c r="K81" i="42" s="1"/>
  <c r="L81" i="42" s="1"/>
  <c r="M81" i="42" s="1"/>
  <c r="N81" i="42" s="1"/>
  <c r="O81" i="42" s="1"/>
  <c r="P81" i="42" s="1"/>
  <c r="J80" i="42"/>
  <c r="K80" i="42" s="1"/>
  <c r="L80" i="42" s="1"/>
  <c r="M80" i="42" s="1"/>
  <c r="N80" i="42" s="1"/>
  <c r="O80" i="42" s="1"/>
  <c r="P80" i="42" s="1"/>
  <c r="J79" i="42"/>
  <c r="K79" i="42" s="1"/>
  <c r="L79" i="42" s="1"/>
  <c r="M79" i="42" s="1"/>
  <c r="N79" i="42" s="1"/>
  <c r="O79" i="42" s="1"/>
  <c r="P79" i="42" s="1"/>
  <c r="J78" i="42"/>
  <c r="K78" i="42" s="1"/>
  <c r="L78" i="42" s="1"/>
  <c r="M78" i="42" s="1"/>
  <c r="N78" i="42" s="1"/>
  <c r="O78" i="42" s="1"/>
  <c r="P78" i="42" s="1"/>
  <c r="J77" i="42"/>
  <c r="K77" i="42" s="1"/>
  <c r="L77" i="42" s="1"/>
  <c r="M77" i="42" s="1"/>
  <c r="N77" i="42" s="1"/>
  <c r="O77" i="42" s="1"/>
  <c r="P77" i="42" s="1"/>
  <c r="K76" i="42"/>
  <c r="L76" i="42" s="1"/>
  <c r="M76" i="42" s="1"/>
  <c r="N76" i="42" s="1"/>
  <c r="O76" i="42" s="1"/>
  <c r="P76" i="42" s="1"/>
  <c r="J76" i="42"/>
  <c r="A76" i="42"/>
  <c r="A77" i="42" s="1"/>
  <c r="A78" i="42" s="1"/>
  <c r="A79" i="42" s="1"/>
  <c r="A80" i="42" s="1"/>
  <c r="A81" i="42" s="1"/>
  <c r="A82" i="42" s="1"/>
  <c r="J75" i="42"/>
  <c r="K75" i="42" s="1"/>
  <c r="L75" i="42" s="1"/>
  <c r="M75" i="42" s="1"/>
  <c r="N75" i="42" s="1"/>
  <c r="O75" i="42" s="1"/>
  <c r="P75" i="42" s="1"/>
  <c r="A75" i="42"/>
  <c r="K73" i="42"/>
  <c r="L73" i="42" s="1"/>
  <c r="M73" i="42" s="1"/>
  <c r="N73" i="42" s="1"/>
  <c r="O73" i="42" s="1"/>
  <c r="P73" i="42" s="1"/>
  <c r="J73" i="42"/>
  <c r="J72" i="42"/>
  <c r="K72" i="42" s="1"/>
  <c r="L72" i="42" s="1"/>
  <c r="M72" i="42" s="1"/>
  <c r="N72" i="42" s="1"/>
  <c r="O72" i="42" s="1"/>
  <c r="P72" i="42" s="1"/>
  <c r="J71" i="42"/>
  <c r="K71" i="42" s="1"/>
  <c r="L71" i="42" s="1"/>
  <c r="M71" i="42" s="1"/>
  <c r="N71" i="42" s="1"/>
  <c r="O71" i="42" s="1"/>
  <c r="P71" i="42" s="1"/>
  <c r="J70" i="42"/>
  <c r="K70" i="42" s="1"/>
  <c r="L70" i="42" s="1"/>
  <c r="M70" i="42" s="1"/>
  <c r="N70" i="42" s="1"/>
  <c r="O70" i="42" s="1"/>
  <c r="P70" i="42" s="1"/>
  <c r="J69" i="42"/>
  <c r="K69" i="42" s="1"/>
  <c r="L69" i="42" s="1"/>
  <c r="M69" i="42" s="1"/>
  <c r="N69" i="42" s="1"/>
  <c r="O69" i="42" s="1"/>
  <c r="P69" i="42" s="1"/>
  <c r="J68" i="42"/>
  <c r="K68" i="42" s="1"/>
  <c r="L68" i="42" s="1"/>
  <c r="M68" i="42" s="1"/>
  <c r="N68" i="42" s="1"/>
  <c r="O68" i="42" s="1"/>
  <c r="P68" i="42" s="1"/>
  <c r="J67" i="42"/>
  <c r="K67" i="42" s="1"/>
  <c r="L67" i="42" s="1"/>
  <c r="M67" i="42" s="1"/>
  <c r="N67" i="42" s="1"/>
  <c r="O67" i="42" s="1"/>
  <c r="P67" i="42" s="1"/>
  <c r="A67" i="42"/>
  <c r="A68" i="42" s="1"/>
  <c r="A69" i="42" s="1"/>
  <c r="A70" i="42" s="1"/>
  <c r="A71" i="42" s="1"/>
  <c r="A72" i="42" s="1"/>
  <c r="A73" i="42" s="1"/>
  <c r="J66" i="42"/>
  <c r="K66" i="42" s="1"/>
  <c r="L66" i="42" s="1"/>
  <c r="M66" i="42" s="1"/>
  <c r="N66" i="42" s="1"/>
  <c r="O66" i="42" s="1"/>
  <c r="P66" i="42" s="1"/>
  <c r="A66" i="42"/>
  <c r="K64" i="42"/>
  <c r="L64" i="42" s="1"/>
  <c r="M64" i="42" s="1"/>
  <c r="N64" i="42" s="1"/>
  <c r="O64" i="42" s="1"/>
  <c r="P64" i="42" s="1"/>
  <c r="J64" i="42"/>
  <c r="J63" i="42"/>
  <c r="K63" i="42" s="1"/>
  <c r="L63" i="42" s="1"/>
  <c r="M63" i="42" s="1"/>
  <c r="N63" i="42" s="1"/>
  <c r="O63" i="42" s="1"/>
  <c r="P63" i="42" s="1"/>
  <c r="J62" i="42"/>
  <c r="K62" i="42" s="1"/>
  <c r="L62" i="42" s="1"/>
  <c r="M62" i="42" s="1"/>
  <c r="N62" i="42" s="1"/>
  <c r="O62" i="42" s="1"/>
  <c r="P62" i="42" s="1"/>
  <c r="J61" i="42"/>
  <c r="K61" i="42" s="1"/>
  <c r="L61" i="42" s="1"/>
  <c r="M61" i="42" s="1"/>
  <c r="N61" i="42" s="1"/>
  <c r="O61" i="42" s="1"/>
  <c r="P61" i="42" s="1"/>
  <c r="J60" i="42"/>
  <c r="K60" i="42" s="1"/>
  <c r="L60" i="42" s="1"/>
  <c r="M60" i="42" s="1"/>
  <c r="N60" i="42" s="1"/>
  <c r="O60" i="42" s="1"/>
  <c r="P60" i="42" s="1"/>
  <c r="J59" i="42"/>
  <c r="K59" i="42" s="1"/>
  <c r="L59" i="42" s="1"/>
  <c r="M59" i="42" s="1"/>
  <c r="N59" i="42" s="1"/>
  <c r="O59" i="42" s="1"/>
  <c r="P59" i="42" s="1"/>
  <c r="J58" i="42"/>
  <c r="K58" i="42" s="1"/>
  <c r="L58" i="42" s="1"/>
  <c r="M58" i="42" s="1"/>
  <c r="N58" i="42" s="1"/>
  <c r="O58" i="42" s="1"/>
  <c r="P58" i="42" s="1"/>
  <c r="A58" i="42"/>
  <c r="A59" i="42" s="1"/>
  <c r="A60" i="42" s="1"/>
  <c r="A61" i="42" s="1"/>
  <c r="A62" i="42" s="1"/>
  <c r="A63" i="42" s="1"/>
  <c r="A64" i="42" s="1"/>
  <c r="J57" i="42"/>
  <c r="K57" i="42" s="1"/>
  <c r="L57" i="42" s="1"/>
  <c r="M57" i="42" s="1"/>
  <c r="N57" i="42" s="1"/>
  <c r="O57" i="42" s="1"/>
  <c r="P57" i="42" s="1"/>
  <c r="A57" i="42"/>
  <c r="J55" i="42"/>
  <c r="K55" i="42" s="1"/>
  <c r="L55" i="42" s="1"/>
  <c r="M55" i="42" s="1"/>
  <c r="N55" i="42" s="1"/>
  <c r="O55" i="42" s="1"/>
  <c r="P55" i="42" s="1"/>
  <c r="A55" i="42"/>
  <c r="J54" i="42"/>
  <c r="K54" i="42" s="1"/>
  <c r="L54" i="42" s="1"/>
  <c r="M54" i="42" s="1"/>
  <c r="N54" i="42" s="1"/>
  <c r="O54" i="42" s="1"/>
  <c r="P54" i="42" s="1"/>
  <c r="J53" i="42"/>
  <c r="K53" i="42" s="1"/>
  <c r="L53" i="42" s="1"/>
  <c r="M53" i="42" s="1"/>
  <c r="N53" i="42" s="1"/>
  <c r="O53" i="42" s="1"/>
  <c r="P53" i="42" s="1"/>
  <c r="J52" i="42"/>
  <c r="K52" i="42" s="1"/>
  <c r="L52" i="42" s="1"/>
  <c r="M52" i="42" s="1"/>
  <c r="N52" i="42" s="1"/>
  <c r="O52" i="42" s="1"/>
  <c r="P52" i="42" s="1"/>
  <c r="J51" i="42"/>
  <c r="K51" i="42" s="1"/>
  <c r="L51" i="42" s="1"/>
  <c r="M51" i="42" s="1"/>
  <c r="N51" i="42" s="1"/>
  <c r="O51" i="42" s="1"/>
  <c r="P51" i="42" s="1"/>
  <c r="A51" i="42"/>
  <c r="A52" i="42" s="1"/>
  <c r="A53" i="42" s="1"/>
  <c r="A54" i="42" s="1"/>
  <c r="J50" i="42"/>
  <c r="K50" i="42" s="1"/>
  <c r="L50" i="42" s="1"/>
  <c r="M50" i="42" s="1"/>
  <c r="N50" i="42" s="1"/>
  <c r="O50" i="42" s="1"/>
  <c r="P50" i="42" s="1"/>
  <c r="A50" i="42"/>
  <c r="J48" i="42"/>
  <c r="K48" i="42" s="1"/>
  <c r="L48" i="42" s="1"/>
  <c r="M48" i="42" s="1"/>
  <c r="N48" i="42" s="1"/>
  <c r="O48" i="42" s="1"/>
  <c r="P48" i="42" s="1"/>
  <c r="J47" i="42"/>
  <c r="K47" i="42" s="1"/>
  <c r="L47" i="42" s="1"/>
  <c r="M47" i="42" s="1"/>
  <c r="N47" i="42" s="1"/>
  <c r="O47" i="42" s="1"/>
  <c r="P47" i="42" s="1"/>
  <c r="J46" i="42"/>
  <c r="K46" i="42" s="1"/>
  <c r="L46" i="42" s="1"/>
  <c r="M46" i="42" s="1"/>
  <c r="N46" i="42" s="1"/>
  <c r="O46" i="42" s="1"/>
  <c r="P46" i="42" s="1"/>
  <c r="J45" i="42"/>
  <c r="K45" i="42" s="1"/>
  <c r="L45" i="42" s="1"/>
  <c r="M45" i="42" s="1"/>
  <c r="N45" i="42" s="1"/>
  <c r="O45" i="42" s="1"/>
  <c r="P45" i="42" s="1"/>
  <c r="J44" i="42"/>
  <c r="K44" i="42" s="1"/>
  <c r="L44" i="42" s="1"/>
  <c r="M44" i="42" s="1"/>
  <c r="N44" i="42" s="1"/>
  <c r="O44" i="42" s="1"/>
  <c r="P44" i="42" s="1"/>
  <c r="J43" i="42"/>
  <c r="K43" i="42" s="1"/>
  <c r="L43" i="42" s="1"/>
  <c r="M43" i="42" s="1"/>
  <c r="N43" i="42" s="1"/>
  <c r="O43" i="42" s="1"/>
  <c r="P43" i="42" s="1"/>
  <c r="J42" i="42"/>
  <c r="K42" i="42" s="1"/>
  <c r="L42" i="42" s="1"/>
  <c r="M42" i="42" s="1"/>
  <c r="N42" i="42" s="1"/>
  <c r="O42" i="42" s="1"/>
  <c r="P42" i="42" s="1"/>
  <c r="J41" i="42"/>
  <c r="K41" i="42" s="1"/>
  <c r="L41" i="42" s="1"/>
  <c r="M41" i="42" s="1"/>
  <c r="N41" i="42" s="1"/>
  <c r="O41" i="42" s="1"/>
  <c r="P41" i="42" s="1"/>
  <c r="J40" i="42"/>
  <c r="K40" i="42" s="1"/>
  <c r="L40" i="42" s="1"/>
  <c r="M40" i="42" s="1"/>
  <c r="N40" i="42" s="1"/>
  <c r="O40" i="42" s="1"/>
  <c r="P40" i="42" s="1"/>
  <c r="A40" i="42"/>
  <c r="A41" i="42" s="1"/>
  <c r="A42" i="42" s="1"/>
  <c r="A43" i="42" s="1"/>
  <c r="A44" i="42" s="1"/>
  <c r="A45" i="42" s="1"/>
  <c r="A46" i="42" s="1"/>
  <c r="A47" i="42" s="1"/>
  <c r="A48" i="42" s="1"/>
  <c r="J38" i="42"/>
  <c r="K38" i="42" s="1"/>
  <c r="L38" i="42" s="1"/>
  <c r="M38" i="42" s="1"/>
  <c r="N38" i="42" s="1"/>
  <c r="O38" i="42" s="1"/>
  <c r="P38" i="42" s="1"/>
  <c r="J37" i="42"/>
  <c r="K37" i="42" s="1"/>
  <c r="L37" i="42" s="1"/>
  <c r="M37" i="42" s="1"/>
  <c r="N37" i="42" s="1"/>
  <c r="O37" i="42" s="1"/>
  <c r="P37" i="42" s="1"/>
  <c r="J36" i="42"/>
  <c r="K36" i="42" s="1"/>
  <c r="L36" i="42" s="1"/>
  <c r="M36" i="42" s="1"/>
  <c r="N36" i="42" s="1"/>
  <c r="O36" i="42" s="1"/>
  <c r="P36" i="42" s="1"/>
  <c r="L35" i="42"/>
  <c r="M35" i="42" s="1"/>
  <c r="N35" i="42" s="1"/>
  <c r="O35" i="42" s="1"/>
  <c r="P35" i="42" s="1"/>
  <c r="K35" i="42"/>
  <c r="J35" i="42"/>
  <c r="J34" i="42"/>
  <c r="K34" i="42" s="1"/>
  <c r="L34" i="42" s="1"/>
  <c r="M34" i="42" s="1"/>
  <c r="N34" i="42" s="1"/>
  <c r="O34" i="42" s="1"/>
  <c r="P34" i="42" s="1"/>
  <c r="K33" i="42"/>
  <c r="L33" i="42" s="1"/>
  <c r="M33" i="42" s="1"/>
  <c r="N33" i="42" s="1"/>
  <c r="O33" i="42" s="1"/>
  <c r="P33" i="42" s="1"/>
  <c r="J33" i="42"/>
  <c r="A33" i="42"/>
  <c r="A34" i="42" s="1"/>
  <c r="A35" i="42" s="1"/>
  <c r="A36" i="42" s="1"/>
  <c r="A37" i="42" s="1"/>
  <c r="A38" i="42" s="1"/>
  <c r="J32" i="42"/>
  <c r="K32" i="42" s="1"/>
  <c r="L32" i="42" s="1"/>
  <c r="M32" i="42" s="1"/>
  <c r="N32" i="42" s="1"/>
  <c r="O32" i="42" s="1"/>
  <c r="P32" i="42" s="1"/>
  <c r="N31" i="42"/>
  <c r="O31" i="42" s="1"/>
  <c r="P31" i="42" s="1"/>
  <c r="J31" i="42"/>
  <c r="K31" i="42" s="1"/>
  <c r="L31" i="42" s="1"/>
  <c r="M31" i="42" s="1"/>
  <c r="A31" i="42"/>
  <c r="A32" i="42" s="1"/>
  <c r="J30" i="42"/>
  <c r="K30" i="42" s="1"/>
  <c r="L30" i="42" s="1"/>
  <c r="M30" i="42" s="1"/>
  <c r="N30" i="42" s="1"/>
  <c r="O30" i="42" s="1"/>
  <c r="P30" i="42" s="1"/>
  <c r="A30" i="42"/>
  <c r="J28" i="42"/>
  <c r="K28" i="42" s="1"/>
  <c r="L28" i="42" s="1"/>
  <c r="M28" i="42" s="1"/>
  <c r="N28" i="42" s="1"/>
  <c r="O28" i="42" s="1"/>
  <c r="P28" i="42" s="1"/>
  <c r="J27" i="42"/>
  <c r="K27" i="42" s="1"/>
  <c r="L27" i="42" s="1"/>
  <c r="M27" i="42" s="1"/>
  <c r="N27" i="42" s="1"/>
  <c r="O27" i="42" s="1"/>
  <c r="P27" i="42" s="1"/>
  <c r="J26" i="42"/>
  <c r="K26" i="42" s="1"/>
  <c r="L26" i="42" s="1"/>
  <c r="M26" i="42" s="1"/>
  <c r="N26" i="42" s="1"/>
  <c r="O26" i="42" s="1"/>
  <c r="P26" i="42" s="1"/>
  <c r="J25" i="42"/>
  <c r="K25" i="42" s="1"/>
  <c r="L25" i="42" s="1"/>
  <c r="M25" i="42" s="1"/>
  <c r="N25" i="42" s="1"/>
  <c r="O25" i="42" s="1"/>
  <c r="P25" i="42" s="1"/>
  <c r="J24" i="42"/>
  <c r="K24" i="42" s="1"/>
  <c r="L24" i="42" s="1"/>
  <c r="M24" i="42" s="1"/>
  <c r="N24" i="42" s="1"/>
  <c r="O24" i="42" s="1"/>
  <c r="P24" i="42" s="1"/>
  <c r="A24" i="42"/>
  <c r="A25" i="42" s="1"/>
  <c r="A26" i="42" s="1"/>
  <c r="A27" i="42" s="1"/>
  <c r="A28" i="42" s="1"/>
  <c r="J23" i="42"/>
  <c r="K23" i="42" s="1"/>
  <c r="L23" i="42" s="1"/>
  <c r="M23" i="42" s="1"/>
  <c r="N23" i="42" s="1"/>
  <c r="O23" i="42" s="1"/>
  <c r="P23" i="42" s="1"/>
  <c r="K22" i="42"/>
  <c r="L22" i="42" s="1"/>
  <c r="M22" i="42" s="1"/>
  <c r="N22" i="42" s="1"/>
  <c r="O22" i="42" s="1"/>
  <c r="P22" i="42" s="1"/>
  <c r="J22" i="42"/>
  <c r="J21" i="42"/>
  <c r="K21" i="42" s="1"/>
  <c r="L21" i="42" s="1"/>
  <c r="M21" i="42" s="1"/>
  <c r="N21" i="42" s="1"/>
  <c r="O21" i="42" s="1"/>
  <c r="P21" i="42" s="1"/>
  <c r="J20" i="42"/>
  <c r="K20" i="42" s="1"/>
  <c r="L20" i="42" s="1"/>
  <c r="M20" i="42" s="1"/>
  <c r="N20" i="42" s="1"/>
  <c r="O20" i="42" s="1"/>
  <c r="P20" i="42" s="1"/>
  <c r="A20" i="42"/>
  <c r="A21" i="42" s="1"/>
  <c r="A22" i="42" s="1"/>
  <c r="A23" i="42" s="1"/>
  <c r="J18" i="42"/>
  <c r="K18" i="42" s="1"/>
  <c r="L18" i="42" s="1"/>
  <c r="M18" i="42" s="1"/>
  <c r="N18" i="42" s="1"/>
  <c r="O18" i="42" s="1"/>
  <c r="P18" i="42" s="1"/>
  <c r="J17" i="42"/>
  <c r="K17" i="42" s="1"/>
  <c r="L17" i="42" s="1"/>
  <c r="M17" i="42" s="1"/>
  <c r="N17" i="42" s="1"/>
  <c r="O17" i="42" s="1"/>
  <c r="P17" i="42" s="1"/>
  <c r="J16" i="42"/>
  <c r="K16" i="42" s="1"/>
  <c r="L16" i="42" s="1"/>
  <c r="M16" i="42" s="1"/>
  <c r="N16" i="42" s="1"/>
  <c r="O16" i="42" s="1"/>
  <c r="P16" i="42" s="1"/>
  <c r="K15" i="42"/>
  <c r="L15" i="42" s="1"/>
  <c r="M15" i="42" s="1"/>
  <c r="N15" i="42" s="1"/>
  <c r="O15" i="42" s="1"/>
  <c r="P15" i="42" s="1"/>
  <c r="J15" i="42"/>
  <c r="J14" i="42"/>
  <c r="K14" i="42" s="1"/>
  <c r="L14" i="42" s="1"/>
  <c r="M14" i="42" s="1"/>
  <c r="N14" i="42" s="1"/>
  <c r="O14" i="42" s="1"/>
  <c r="P14" i="42" s="1"/>
  <c r="K13" i="42"/>
  <c r="L13" i="42" s="1"/>
  <c r="M13" i="42" s="1"/>
  <c r="N13" i="42" s="1"/>
  <c r="O13" i="42" s="1"/>
  <c r="P13" i="42" s="1"/>
  <c r="J13" i="42"/>
  <c r="A13" i="42"/>
  <c r="A14" i="42" s="1"/>
  <c r="A15" i="42" s="1"/>
  <c r="A16" i="42" s="1"/>
  <c r="A17" i="42" s="1"/>
  <c r="A18" i="42" s="1"/>
  <c r="J12" i="42"/>
  <c r="K12" i="42" s="1"/>
  <c r="L12" i="42" s="1"/>
  <c r="M12" i="42" s="1"/>
  <c r="N12" i="42" s="1"/>
  <c r="O12" i="42" s="1"/>
  <c r="P12" i="42" s="1"/>
  <c r="J11" i="42"/>
  <c r="K11" i="42" s="1"/>
  <c r="L11" i="42" s="1"/>
  <c r="M11" i="42" s="1"/>
  <c r="N11" i="42" s="1"/>
  <c r="O11" i="42" s="1"/>
  <c r="P11" i="42" s="1"/>
  <c r="A11" i="42"/>
  <c r="A12" i="42" s="1"/>
  <c r="J10" i="42"/>
  <c r="K10" i="42" s="1"/>
  <c r="L10" i="42" s="1"/>
  <c r="M10" i="42" s="1"/>
  <c r="N10" i="42" s="1"/>
  <c r="O10" i="42" s="1"/>
  <c r="P10" i="42" s="1"/>
  <c r="A10" i="42"/>
  <c r="J8" i="42"/>
  <c r="K8" i="42" s="1"/>
  <c r="L8" i="42" s="1"/>
  <c r="M8" i="42" s="1"/>
  <c r="N8" i="42" s="1"/>
  <c r="O8" i="42" s="1"/>
  <c r="P8" i="42" s="1"/>
  <c r="J7" i="42"/>
  <c r="K7" i="42" s="1"/>
  <c r="L7" i="42" s="1"/>
  <c r="M7" i="42" s="1"/>
  <c r="N7" i="42" s="1"/>
  <c r="O7" i="42" s="1"/>
  <c r="P7" i="42" s="1"/>
  <c r="M6" i="42"/>
  <c r="N6" i="42" s="1"/>
  <c r="O6" i="42" s="1"/>
  <c r="P6" i="42" s="1"/>
  <c r="J6" i="42"/>
  <c r="K6" i="42" s="1"/>
  <c r="L6" i="42" s="1"/>
  <c r="J5" i="42"/>
  <c r="K5" i="42" s="1"/>
  <c r="L5" i="42" s="1"/>
  <c r="M5" i="42" s="1"/>
  <c r="N5" i="42" s="1"/>
  <c r="O5" i="42" s="1"/>
  <c r="P5" i="42" s="1"/>
  <c r="J4" i="42"/>
  <c r="K4" i="42" s="1"/>
  <c r="L4" i="42" s="1"/>
  <c r="M4" i="42" s="1"/>
  <c r="N4" i="42" s="1"/>
  <c r="O4" i="42" s="1"/>
  <c r="P4" i="42" s="1"/>
  <c r="A4" i="42"/>
  <c r="A5" i="42" s="1"/>
  <c r="A6" i="42" s="1"/>
  <c r="A7" i="42" s="1"/>
  <c r="A8" i="42" s="1"/>
  <c r="D3" i="40"/>
  <c r="E160" i="35"/>
  <c r="E159" i="35"/>
  <c r="E158" i="35"/>
  <c r="E156" i="35"/>
  <c r="E155" i="35"/>
  <c r="E153" i="35"/>
  <c r="E152" i="35"/>
  <c r="E150" i="35"/>
  <c r="E149" i="35"/>
  <c r="E148" i="35"/>
  <c r="E147" i="35"/>
  <c r="E146" i="35"/>
  <c r="E145" i="35"/>
  <c r="E143" i="35"/>
  <c r="E142" i="35"/>
  <c r="E141" i="35"/>
  <c r="E140" i="35"/>
  <c r="E139" i="35"/>
  <c r="E138" i="35"/>
  <c r="E136" i="35"/>
  <c r="E135" i="35"/>
  <c r="E134" i="35"/>
  <c r="E133" i="35"/>
  <c r="E132" i="35"/>
  <c r="E130" i="35"/>
  <c r="E129" i="35"/>
  <c r="E128" i="35"/>
  <c r="E127" i="35"/>
  <c r="E126" i="35"/>
  <c r="E125" i="35"/>
  <c r="E123" i="35"/>
  <c r="E122" i="35"/>
  <c r="E120" i="35"/>
  <c r="E119" i="35"/>
  <c r="E110" i="35"/>
  <c r="E109" i="35"/>
  <c r="E108" i="35"/>
  <c r="E107" i="35"/>
  <c r="E106" i="35"/>
  <c r="E105" i="35"/>
  <c r="E103" i="35"/>
  <c r="E102" i="35"/>
  <c r="E101" i="35"/>
  <c r="E100" i="35"/>
  <c r="E99" i="35"/>
  <c r="E98" i="35"/>
  <c r="E96" i="35"/>
  <c r="E95" i="35"/>
  <c r="E94" i="35"/>
  <c r="E92" i="35"/>
  <c r="E90" i="35"/>
  <c r="E89" i="35"/>
  <c r="E88" i="35"/>
  <c r="E87" i="35"/>
  <c r="E86" i="35"/>
  <c r="E85" i="35"/>
  <c r="E83" i="35"/>
  <c r="E81" i="35"/>
  <c r="E80" i="35"/>
  <c r="E79" i="35"/>
  <c r="E78" i="35"/>
  <c r="E77" i="35"/>
  <c r="E76" i="35"/>
  <c r="E74" i="35"/>
  <c r="E73" i="35"/>
  <c r="E72" i="35"/>
  <c r="E69" i="35"/>
  <c r="E67" i="35"/>
  <c r="E60" i="35"/>
  <c r="E58" i="35"/>
  <c r="E57" i="35"/>
  <c r="E56" i="35"/>
  <c r="E55" i="35"/>
  <c r="E54" i="35"/>
  <c r="E53" i="35"/>
  <c r="E51" i="35"/>
  <c r="E50" i="35"/>
  <c r="E49" i="35"/>
  <c r="E48" i="35"/>
  <c r="E47" i="35"/>
  <c r="E45" i="35"/>
  <c r="E44" i="35"/>
  <c r="E43" i="35"/>
  <c r="E42" i="35"/>
  <c r="E41" i="35"/>
  <c r="E40" i="35"/>
  <c r="E39" i="35"/>
  <c r="E38" i="35"/>
  <c r="E37" i="35"/>
  <c r="E36" i="35"/>
  <c r="E35" i="35"/>
  <c r="E33" i="35"/>
  <c r="E32" i="35"/>
  <c r="E28" i="35"/>
  <c r="E26" i="35"/>
  <c r="E25" i="35"/>
  <c r="E23" i="35"/>
  <c r="E22" i="35"/>
  <c r="E21" i="35"/>
  <c r="E20" i="35"/>
  <c r="E19" i="35"/>
  <c r="E18" i="35"/>
  <c r="E16" i="35"/>
  <c r="E15" i="35"/>
  <c r="E14" i="35"/>
  <c r="E13" i="35"/>
  <c r="E12" i="35"/>
  <c r="E11" i="35"/>
  <c r="E5" i="35"/>
  <c r="E6" i="35"/>
  <c r="E7" i="35"/>
  <c r="E8" i="35"/>
  <c r="E9" i="35"/>
  <c r="E4" i="35"/>
  <c r="Q31" i="6" l="1"/>
  <c r="Q34" i="6"/>
  <c r="Q33" i="6"/>
  <c r="Q32" i="6"/>
  <c r="Q27" i="6"/>
  <c r="Q28" i="6"/>
  <c r="Q22" i="6"/>
  <c r="Q23" i="6"/>
  <c r="Q24" i="6"/>
  <c r="Q25" i="6"/>
  <c r="Q26" i="6"/>
  <c r="Q21" i="6"/>
  <c r="Q19" i="6"/>
  <c r="Q20" i="6"/>
  <c r="Q18" i="6"/>
  <c r="Q13" i="6"/>
  <c r="Q14" i="6"/>
  <c r="Q15" i="6"/>
  <c r="Q16" i="6"/>
  <c r="Q17" i="6"/>
  <c r="Q8" i="6"/>
  <c r="Q9" i="6"/>
  <c r="Q10" i="6"/>
  <c r="Q11" i="6"/>
  <c r="Q7" i="6"/>
  <c r="Q4" i="6"/>
  <c r="Q5" i="6"/>
  <c r="Q6" i="6"/>
  <c r="Q3" i="6"/>
  <c r="N176" i="34"/>
  <c r="P176" i="34"/>
  <c r="P175" i="34"/>
  <c r="N169" i="34"/>
  <c r="P167" i="34"/>
  <c r="N167" i="34" s="1"/>
  <c r="P165" i="34"/>
  <c r="N164" i="34"/>
  <c r="P163" i="34"/>
  <c r="P162" i="34"/>
  <c r="N161" i="34"/>
  <c r="X158" i="34"/>
  <c r="P148" i="34"/>
  <c r="X149" i="34"/>
  <c r="N144" i="34"/>
  <c r="N145" i="34"/>
  <c r="N146" i="34"/>
  <c r="N147" i="34"/>
  <c r="N143" i="34"/>
  <c r="V144" i="34"/>
  <c r="V143" i="34"/>
  <c r="V147" i="34"/>
  <c r="V146" i="34"/>
  <c r="V145" i="34"/>
  <c r="P142" i="34"/>
  <c r="U141" i="34"/>
  <c r="V141" i="34"/>
  <c r="N141" i="34"/>
  <c r="X140" i="34"/>
  <c r="V140" i="34"/>
  <c r="P136" i="34"/>
  <c r="N135" i="34"/>
  <c r="V134" i="34"/>
  <c r="V135" i="34"/>
  <c r="V133" i="34"/>
  <c r="V132" i="34"/>
  <c r="V131" i="34"/>
  <c r="N134" i="34"/>
  <c r="N133" i="34"/>
  <c r="N132" i="34"/>
  <c r="P132" i="34"/>
  <c r="P131" i="34"/>
  <c r="N130" i="34"/>
  <c r="P128" i="34"/>
  <c r="P127" i="34"/>
  <c r="N125" i="34"/>
  <c r="N123" i="34"/>
  <c r="P126" i="34"/>
  <c r="P121" i="34"/>
  <c r="P120" i="34"/>
  <c r="N119" i="34"/>
  <c r="N112" i="34"/>
  <c r="N113" i="34"/>
  <c r="N114" i="34"/>
  <c r="N115" i="34"/>
  <c r="N116" i="34"/>
  <c r="N117" i="34"/>
  <c r="N118" i="34"/>
  <c r="N111" i="34"/>
  <c r="V113" i="34"/>
  <c r="V114" i="34" s="1"/>
  <c r="V115" i="34" s="1"/>
  <c r="V116" i="34" s="1"/>
  <c r="V117" i="34" s="1"/>
  <c r="V118" i="34" s="1"/>
  <c r="V119" i="34" s="1"/>
  <c r="V120" i="34" s="1"/>
  <c r="V121" i="34" s="1"/>
  <c r="N121" i="34" s="1"/>
  <c r="V111" i="34"/>
  <c r="V112" i="34"/>
  <c r="W111" i="34"/>
  <c r="V110" i="34"/>
  <c r="P110" i="34"/>
  <c r="N109" i="34"/>
  <c r="N107" i="34"/>
  <c r="N108" i="34"/>
  <c r="P108" i="34"/>
  <c r="V108" i="34"/>
  <c r="V109" i="34"/>
  <c r="V107" i="34"/>
  <c r="X107" i="34"/>
  <c r="P104" i="34"/>
  <c r="N101" i="34"/>
  <c r="N102" i="34"/>
  <c r="N100" i="34"/>
  <c r="P97" i="34"/>
  <c r="V101" i="34"/>
  <c r="V102" i="34"/>
  <c r="V100" i="34"/>
  <c r="N93" i="34"/>
  <c r="N94" i="34"/>
  <c r="N95" i="34"/>
  <c r="N92" i="34"/>
  <c r="V94" i="34"/>
  <c r="V95" i="34"/>
  <c r="V93" i="34"/>
  <c r="U64" i="34"/>
  <c r="U65" i="34"/>
  <c r="T63" i="34"/>
  <c r="U63" i="34" s="1"/>
  <c r="V56" i="34"/>
  <c r="V53" i="34"/>
  <c r="V54" i="34" s="1"/>
  <c r="N54" i="34" s="1"/>
  <c r="N44" i="34"/>
  <c r="N45" i="34"/>
  <c r="N46" i="34"/>
  <c r="N47" i="34"/>
  <c r="N48" i="34"/>
  <c r="N49" i="34"/>
  <c r="N50" i="34"/>
  <c r="N51" i="34"/>
  <c r="N52" i="34"/>
  <c r="N53" i="34"/>
  <c r="V50" i="34"/>
  <c r="V51" i="34"/>
  <c r="V52" i="34"/>
  <c r="V46" i="34"/>
  <c r="V47" i="34"/>
  <c r="V48" i="34" s="1"/>
  <c r="V49" i="34" s="1"/>
  <c r="V45" i="34"/>
  <c r="V44" i="34"/>
  <c r="W44" i="34"/>
  <c r="V10" i="34"/>
  <c r="N7" i="34"/>
  <c r="V6" i="34"/>
  <c r="V90" i="34"/>
  <c r="V106" i="34"/>
  <c r="N106" i="34"/>
  <c r="N104" i="34"/>
  <c r="P103" i="34"/>
  <c r="N170" i="34"/>
  <c r="N171" i="34"/>
  <c r="N172" i="34"/>
  <c r="N173" i="34"/>
  <c r="R169" i="34"/>
  <c r="P166" i="34"/>
  <c r="P164" i="34"/>
  <c r="P141" i="34"/>
  <c r="P140" i="34"/>
  <c r="P139" i="34"/>
  <c r="P138" i="34"/>
  <c r="P137" i="34"/>
  <c r="P135" i="34"/>
  <c r="P134" i="34"/>
  <c r="P133" i="34"/>
  <c r="P130" i="34"/>
  <c r="P129" i="34"/>
  <c r="P125" i="34"/>
  <c r="P124" i="34"/>
  <c r="P123" i="34"/>
  <c r="P122" i="34"/>
  <c r="P119" i="34"/>
  <c r="P118" i="34"/>
  <c r="P117" i="34"/>
  <c r="P116" i="34"/>
  <c r="P115" i="34"/>
  <c r="P114" i="34"/>
  <c r="P113" i="34"/>
  <c r="P112" i="34"/>
  <c r="P111" i="34"/>
  <c r="P109" i="34"/>
  <c r="P107" i="34"/>
  <c r="P106" i="34"/>
  <c r="P105" i="34"/>
  <c r="P102" i="34"/>
  <c r="P101" i="34"/>
  <c r="P100" i="34"/>
  <c r="P99" i="34"/>
  <c r="P98" i="34"/>
  <c r="P96" i="34"/>
  <c r="P94" i="34"/>
  <c r="P90" i="34"/>
  <c r="N90" i="34" s="1"/>
  <c r="N81" i="34"/>
  <c r="P89" i="34"/>
  <c r="P82" i="34"/>
  <c r="P95" i="34"/>
  <c r="P93" i="34"/>
  <c r="P92" i="34"/>
  <c r="P91" i="34"/>
  <c r="P88" i="34"/>
  <c r="P87" i="34"/>
  <c r="P86" i="34"/>
  <c r="P85" i="34"/>
  <c r="P84" i="34"/>
  <c r="P83" i="34"/>
  <c r="P81" i="34"/>
  <c r="P80" i="34"/>
  <c r="P79" i="34"/>
  <c r="P78" i="34"/>
  <c r="N77" i="34"/>
  <c r="N76" i="34"/>
  <c r="V77" i="34"/>
  <c r="V76" i="34"/>
  <c r="N75" i="34"/>
  <c r="N70" i="34"/>
  <c r="N72" i="34"/>
  <c r="N73" i="34"/>
  <c r="P75" i="34"/>
  <c r="P74" i="34"/>
  <c r="P73" i="34"/>
  <c r="P72" i="34"/>
  <c r="P71" i="34"/>
  <c r="P70" i="34"/>
  <c r="P69" i="34"/>
  <c r="P68" i="34"/>
  <c r="P67" i="34"/>
  <c r="P9" i="34"/>
  <c r="P16" i="34" s="1"/>
  <c r="P40" i="34" s="1"/>
  <c r="P55" i="34" s="1"/>
  <c r="P62" i="34" s="1"/>
  <c r="P66" i="34" s="1"/>
  <c r="P63" i="34"/>
  <c r="P65" i="34"/>
  <c r="P64" i="34"/>
  <c r="N60" i="34"/>
  <c r="N61" i="34"/>
  <c r="P51" i="34"/>
  <c r="M195" i="34"/>
  <c r="M194" i="34"/>
  <c r="M193" i="34"/>
  <c r="M192" i="34"/>
  <c r="M191" i="34"/>
  <c r="M179" i="34"/>
  <c r="M180" i="34"/>
  <c r="M181" i="34"/>
  <c r="M182" i="34"/>
  <c r="M183" i="34"/>
  <c r="M184" i="34"/>
  <c r="M185" i="34"/>
  <c r="M186" i="34"/>
  <c r="M187" i="34"/>
  <c r="M188" i="34"/>
  <c r="M189" i="34"/>
  <c r="M178" i="34"/>
  <c r="N166" i="34"/>
  <c r="N163" i="34"/>
  <c r="N160" i="34"/>
  <c r="N159" i="34"/>
  <c r="N158" i="34"/>
  <c r="N157" i="34"/>
  <c r="N156" i="34"/>
  <c r="N155" i="34"/>
  <c r="N154" i="34"/>
  <c r="N151" i="34"/>
  <c r="N150" i="34"/>
  <c r="N149" i="34"/>
  <c r="N139" i="34"/>
  <c r="N140" i="34"/>
  <c r="N138" i="34"/>
  <c r="N137" i="34"/>
  <c r="N129" i="34"/>
  <c r="N128" i="34"/>
  <c r="N126" i="34"/>
  <c r="N124" i="34"/>
  <c r="N122" i="34"/>
  <c r="N105" i="34"/>
  <c r="N99" i="34"/>
  <c r="N98" i="34"/>
  <c r="N97" i="34"/>
  <c r="N91" i="34"/>
  <c r="N88" i="34"/>
  <c r="N87" i="34"/>
  <c r="N86" i="34"/>
  <c r="N85" i="34"/>
  <c r="N84" i="34"/>
  <c r="N83" i="34"/>
  <c r="N80" i="34"/>
  <c r="N79" i="34"/>
  <c r="N74" i="34"/>
  <c r="N71" i="34"/>
  <c r="N69" i="34"/>
  <c r="N68" i="34"/>
  <c r="N67" i="34"/>
  <c r="N65" i="34"/>
  <c r="N64" i="34"/>
  <c r="N63" i="34"/>
  <c r="N59" i="34"/>
  <c r="N58" i="34"/>
  <c r="N57" i="34"/>
  <c r="N56" i="34"/>
  <c r="P50" i="34"/>
  <c r="N41" i="34"/>
  <c r="P52" i="34"/>
  <c r="P49" i="34"/>
  <c r="P48" i="34"/>
  <c r="P47" i="34"/>
  <c r="P46" i="34"/>
  <c r="P45" i="34"/>
  <c r="P44" i="34"/>
  <c r="N43" i="34"/>
  <c r="N42" i="34"/>
  <c r="N39" i="34"/>
  <c r="N38" i="34"/>
  <c r="N23" i="34"/>
  <c r="P37" i="34"/>
  <c r="P36" i="34"/>
  <c r="P35" i="34"/>
  <c r="P34" i="34"/>
  <c r="N34" i="34" s="1"/>
  <c r="P33" i="34"/>
  <c r="N33" i="34" s="1"/>
  <c r="P32" i="34"/>
  <c r="N32" i="34" s="1"/>
  <c r="P31" i="34"/>
  <c r="P30" i="34"/>
  <c r="P29" i="34"/>
  <c r="P28" i="34"/>
  <c r="N28" i="34" s="1"/>
  <c r="P27" i="34"/>
  <c r="P26" i="34"/>
  <c r="N26" i="34" s="1"/>
  <c r="N27" i="34"/>
  <c r="N37" i="34"/>
  <c r="N35" i="34"/>
  <c r="N29" i="34"/>
  <c r="N24" i="34"/>
  <c r="N25" i="34"/>
  <c r="N19" i="34"/>
  <c r="N21" i="34"/>
  <c r="N22" i="34"/>
  <c r="N15" i="34"/>
  <c r="V39" i="34"/>
  <c r="V38" i="34"/>
  <c r="V37" i="34"/>
  <c r="N36" i="34"/>
  <c r="N31" i="34"/>
  <c r="N30" i="34"/>
  <c r="N20" i="34"/>
  <c r="N18" i="34"/>
  <c r="N17" i="34"/>
  <c r="N10" i="34"/>
  <c r="N5" i="34"/>
  <c r="N14" i="34"/>
  <c r="N13" i="34"/>
  <c r="N12" i="34"/>
  <c r="N11" i="34"/>
  <c r="W10" i="34"/>
  <c r="N6" i="34"/>
  <c r="N4" i="34"/>
  <c r="V4" i="34"/>
  <c r="P25" i="8"/>
  <c r="P29" i="8"/>
  <c r="P28" i="8"/>
  <c r="P27" i="8"/>
  <c r="P26" i="8"/>
  <c r="P18" i="8"/>
  <c r="P16" i="8"/>
  <c r="P15" i="8"/>
  <c r="P13" i="8"/>
  <c r="P12" i="8"/>
  <c r="P11" i="8"/>
  <c r="R11" i="8"/>
  <c r="V26" i="10"/>
  <c r="V27" i="10"/>
  <c r="V28" i="10"/>
  <c r="V29" i="10"/>
  <c r="V30" i="10"/>
  <c r="V31" i="10"/>
  <c r="V32" i="10"/>
  <c r="V33" i="10"/>
  <c r="V34" i="10"/>
  <c r="V35" i="10"/>
  <c r="V36" i="10"/>
  <c r="V37" i="10"/>
  <c r="V38" i="10"/>
  <c r="V39" i="10"/>
  <c r="V40" i="10"/>
  <c r="V41" i="10"/>
  <c r="V42" i="10"/>
  <c r="V43" i="10"/>
  <c r="P101" i="9"/>
  <c r="U5" i="9"/>
  <c r="U6" i="9"/>
  <c r="U7" i="9"/>
  <c r="U4" i="9"/>
  <c r="T135" i="34" l="1"/>
  <c r="U135" i="34"/>
  <c r="A137" i="34"/>
  <c r="A135" i="34"/>
  <c r="T134" i="34"/>
  <c r="U134" i="34" s="1"/>
  <c r="F134" i="34"/>
  <c r="E134" i="34"/>
  <c r="T133" i="34"/>
  <c r="U133" i="34" s="1"/>
  <c r="F133" i="34"/>
  <c r="E133" i="34"/>
  <c r="T132" i="34"/>
  <c r="U132" i="34" s="1"/>
  <c r="F132" i="34"/>
  <c r="E132" i="34"/>
  <c r="U131" i="34"/>
  <c r="T114" i="34"/>
  <c r="T115" i="34"/>
  <c r="T116" i="34"/>
  <c r="T117" i="34"/>
  <c r="T118" i="34"/>
  <c r="T119" i="34"/>
  <c r="T113" i="34"/>
  <c r="F113" i="34"/>
  <c r="E113" i="34"/>
  <c r="T112" i="34"/>
  <c r="F112" i="34"/>
  <c r="E112" i="34"/>
  <c r="T111" i="34"/>
  <c r="F111" i="34"/>
  <c r="E111" i="34"/>
  <c r="T141" i="34"/>
  <c r="T109" i="34"/>
  <c r="U109" i="34" s="1"/>
  <c r="T108" i="34"/>
  <c r="U108" i="34" s="1"/>
  <c r="T107" i="34"/>
  <c r="U107" i="34" s="1"/>
  <c r="T102" i="34"/>
  <c r="T101" i="34"/>
  <c r="T100" i="34"/>
  <c r="T95" i="34"/>
  <c r="T94" i="34"/>
  <c r="T93" i="34"/>
  <c r="V104" i="34"/>
  <c r="P23" i="34"/>
  <c r="T10" i="34"/>
  <c r="T4" i="34" l="1"/>
  <c r="U4" i="34" s="1"/>
  <c r="P102" i="9" l="1"/>
  <c r="P103" i="9"/>
  <c r="V210" i="20"/>
  <c r="V209" i="20"/>
  <c r="V208" i="20"/>
  <c r="V207" i="20"/>
  <c r="V206" i="20"/>
  <c r="V205" i="20"/>
  <c r="U173" i="20"/>
  <c r="V173" i="20" s="1"/>
  <c r="U172" i="20"/>
  <c r="V172" i="20" s="1"/>
  <c r="U171" i="20"/>
  <c r="V171" i="20" s="1"/>
  <c r="U16" i="20"/>
  <c r="U17" i="20"/>
  <c r="U18" i="20"/>
  <c r="U15" i="20"/>
  <c r="Q184" i="20" l="1"/>
  <c r="Q25" i="20"/>
  <c r="Q79" i="20"/>
  <c r="Q80" i="20"/>
  <c r="Q78" i="20"/>
  <c r="Q195" i="20"/>
  <c r="Q196" i="20"/>
  <c r="Q197" i="20"/>
  <c r="Q198" i="20"/>
  <c r="Q199" i="20"/>
  <c r="Q200" i="20"/>
  <c r="Q201" i="20"/>
  <c r="Q203" i="20"/>
  <c r="Q194" i="20"/>
  <c r="Q119" i="20"/>
  <c r="Q121" i="20"/>
  <c r="Q122" i="20"/>
  <c r="Q118" i="20"/>
  <c r="L6" i="38"/>
  <c r="E7" i="38" s="1"/>
  <c r="F7" i="38" s="1"/>
  <c r="G7" i="38" s="1"/>
  <c r="H7" i="38" s="1"/>
  <c r="I7" i="38" s="1"/>
  <c r="J7" i="38" s="1"/>
  <c r="K7" i="38" s="1"/>
  <c r="K8" i="38" s="1"/>
  <c r="K11" i="38" s="1"/>
  <c r="K9" i="38" l="1"/>
  <c r="K10" i="38" s="1"/>
  <c r="J8" i="38"/>
  <c r="G8" i="38"/>
  <c r="F8" i="38"/>
  <c r="E8" i="38"/>
  <c r="I8" i="38"/>
  <c r="H8" i="38"/>
  <c r="A209" i="8"/>
  <c r="A210" i="8" s="1"/>
  <c r="P206" i="8"/>
  <c r="P207" i="8"/>
  <c r="P205" i="8"/>
  <c r="R206" i="8"/>
  <c r="R207" i="8"/>
  <c r="R205" i="8"/>
  <c r="A202" i="8"/>
  <c r="A203" i="8" s="1"/>
  <c r="A204" i="8" s="1"/>
  <c r="A205" i="8" s="1"/>
  <c r="A206" i="8" s="1"/>
  <c r="A207" i="8" s="1"/>
  <c r="Y50" i="10"/>
  <c r="Y51" i="10"/>
  <c r="Y52" i="10"/>
  <c r="Y53" i="10"/>
  <c r="Y54" i="10"/>
  <c r="Y55" i="10"/>
  <c r="Y56" i="10"/>
  <c r="Y57" i="10"/>
  <c r="Y59" i="10"/>
  <c r="Y49" i="10"/>
  <c r="X50" i="10"/>
  <c r="X51" i="10"/>
  <c r="X52" i="10"/>
  <c r="X53" i="10"/>
  <c r="X54" i="10"/>
  <c r="X55" i="10"/>
  <c r="X56" i="10"/>
  <c r="X57" i="10"/>
  <c r="X59" i="10"/>
  <c r="X49" i="10"/>
  <c r="I11" i="38" l="1"/>
  <c r="I9" i="38"/>
  <c r="I10" i="38" s="1"/>
  <c r="E11" i="38"/>
  <c r="E9" i="38"/>
  <c r="L8" i="38"/>
  <c r="F11" i="38"/>
  <c r="F9" i="38"/>
  <c r="F10" i="38" s="1"/>
  <c r="G11" i="38"/>
  <c r="G9" i="38"/>
  <c r="G10" i="38" s="1"/>
  <c r="H11" i="38"/>
  <c r="H9" i="38"/>
  <c r="H10" i="38" s="1"/>
  <c r="J11" i="38"/>
  <c r="J9" i="38"/>
  <c r="J10" i="38" s="1"/>
  <c r="E10" i="38" l="1"/>
  <c r="L9" i="38"/>
  <c r="P170" i="8"/>
  <c r="M49" i="23"/>
  <c r="M45" i="23"/>
  <c r="L12" i="23"/>
  <c r="M12" i="23" s="1"/>
  <c r="L170" i="23"/>
  <c r="M170" i="23" s="1"/>
  <c r="Q58" i="10"/>
  <c r="Q65" i="10"/>
  <c r="Q66" i="10"/>
  <c r="Q67" i="10"/>
  <c r="Q64" i="10"/>
  <c r="Q62" i="10"/>
  <c r="Q61" i="10"/>
  <c r="P177" i="8"/>
  <c r="P176" i="8"/>
  <c r="P174" i="8"/>
  <c r="P171" i="8"/>
  <c r="P172" i="8"/>
  <c r="P173" i="8"/>
  <c r="P168" i="8"/>
  <c r="P169" i="8"/>
  <c r="P167" i="8"/>
  <c r="P184" i="8"/>
  <c r="P185" i="8"/>
  <c r="P186" i="8"/>
  <c r="P183" i="8"/>
  <c r="P180" i="8"/>
  <c r="P181" i="8"/>
  <c r="P179" i="8"/>
  <c r="P165" i="8"/>
  <c r="P164" i="8"/>
  <c r="P163" i="8"/>
  <c r="P162" i="8"/>
  <c r="P143" i="8"/>
  <c r="P144" i="8"/>
  <c r="P145" i="8"/>
  <c r="P146" i="8"/>
  <c r="P147" i="8"/>
  <c r="P148" i="8"/>
  <c r="P149" i="8"/>
  <c r="P150" i="8"/>
  <c r="P151" i="8"/>
  <c r="P152" i="8"/>
  <c r="P153" i="8"/>
  <c r="P154" i="8"/>
  <c r="P155" i="8"/>
  <c r="P156" i="8"/>
  <c r="P157" i="8"/>
  <c r="P158" i="8"/>
  <c r="P159" i="8"/>
  <c r="P142" i="8"/>
  <c r="T140" i="8"/>
  <c r="P140" i="8" s="1"/>
  <c r="P139" i="8"/>
  <c r="T136" i="8"/>
  <c r="T137" i="8"/>
  <c r="T107" i="8"/>
  <c r="P107" i="8" s="1"/>
  <c r="R107" i="8" s="1"/>
  <c r="P130" i="8"/>
  <c r="P131" i="8"/>
  <c r="P132" i="8"/>
  <c r="P133" i="8"/>
  <c r="P129" i="8"/>
  <c r="S50" i="8"/>
  <c r="S51" i="8"/>
  <c r="S49" i="8"/>
  <c r="P117" i="8"/>
  <c r="P118" i="8"/>
  <c r="P119" i="8"/>
  <c r="P120" i="8"/>
  <c r="P121" i="8"/>
  <c r="P122" i="8"/>
  <c r="P123" i="8"/>
  <c r="P124" i="8"/>
  <c r="P125" i="8"/>
  <c r="P126" i="8"/>
  <c r="P127" i="8"/>
  <c r="P116" i="8"/>
  <c r="P111" i="8"/>
  <c r="P112" i="8"/>
  <c r="P113" i="8"/>
  <c r="P114" i="8"/>
  <c r="P110" i="8"/>
  <c r="T103" i="8"/>
  <c r="P103" i="8" s="1"/>
  <c r="R103" i="8" s="1"/>
  <c r="T94" i="8"/>
  <c r="R94" i="8" s="1"/>
  <c r="T95" i="8"/>
  <c r="P95" i="8" s="1"/>
  <c r="R95" i="8" s="1"/>
  <c r="T96" i="8"/>
  <c r="P96" i="8" s="1"/>
  <c r="R96" i="8" s="1"/>
  <c r="T97" i="8"/>
  <c r="P97" i="8" s="1"/>
  <c r="R97" i="8" s="1"/>
  <c r="T98" i="8"/>
  <c r="P98" i="8" s="1"/>
  <c r="R98" i="8" s="1"/>
  <c r="T99" i="8"/>
  <c r="P99" i="8" s="1"/>
  <c r="R99" i="8" s="1"/>
  <c r="T100" i="8"/>
  <c r="P100" i="8" s="1"/>
  <c r="R100" i="8" s="1"/>
  <c r="T101" i="8"/>
  <c r="P101" i="8" s="1"/>
  <c r="R101" i="8" s="1"/>
  <c r="T102" i="8"/>
  <c r="T104" i="8"/>
  <c r="P104" i="8" s="1"/>
  <c r="R104" i="8" s="1"/>
  <c r="T105" i="8"/>
  <c r="P105" i="8" s="1"/>
  <c r="R105" i="8" s="1"/>
  <c r="T106" i="8"/>
  <c r="P106" i="8" s="1"/>
  <c r="R106" i="8" s="1"/>
  <c r="T108" i="8"/>
  <c r="P108" i="8" s="1"/>
  <c r="R108" i="8" s="1"/>
  <c r="T93" i="8"/>
  <c r="P93" i="8" s="1"/>
  <c r="R102" i="8"/>
  <c r="X58" i="10" l="1"/>
  <c r="Y58" i="10"/>
  <c r="Q22" i="10"/>
  <c r="Q23" i="10"/>
  <c r="Q21" i="10"/>
  <c r="Q64" i="12"/>
  <c r="Q219" i="12"/>
  <c r="Q220" i="12"/>
  <c r="Q221" i="12"/>
  <c r="Q222" i="12"/>
  <c r="Q223" i="12"/>
  <c r="Q224" i="12"/>
  <c r="Q225" i="12"/>
  <c r="Q226" i="12"/>
  <c r="Q227" i="12"/>
  <c r="Q218" i="12"/>
  <c r="P46" i="11"/>
  <c r="P47" i="11"/>
  <c r="P48" i="11"/>
  <c r="P49" i="11"/>
  <c r="P45" i="11"/>
  <c r="P42" i="11"/>
  <c r="P43" i="11"/>
  <c r="P41" i="11"/>
  <c r="P31" i="11"/>
  <c r="P32" i="11"/>
  <c r="P33" i="11"/>
  <c r="P34" i="11"/>
  <c r="P35" i="11"/>
  <c r="P36" i="11"/>
  <c r="P37" i="11"/>
  <c r="P38" i="11"/>
  <c r="P39" i="11"/>
  <c r="Q2" i="10"/>
  <c r="P2" i="11" s="1"/>
  <c r="Q2" i="12" s="1"/>
  <c r="AB69" i="12" l="1"/>
  <c r="AB68" i="12"/>
  <c r="W69" i="12"/>
  <c r="P44" i="8"/>
  <c r="P45" i="8"/>
  <c r="P46" i="8"/>
  <c r="P47" i="8"/>
  <c r="P42" i="8"/>
  <c r="P43" i="8"/>
  <c r="P189" i="8" l="1"/>
  <c r="P190" i="8"/>
  <c r="P191" i="8"/>
  <c r="P188" i="8"/>
  <c r="P194" i="8"/>
  <c r="P195" i="8"/>
  <c r="P196" i="8"/>
  <c r="P197" i="8"/>
  <c r="P198" i="8"/>
  <c r="P193" i="8"/>
  <c r="P40" i="8"/>
  <c r="P41" i="8"/>
  <c r="P38" i="8" l="1"/>
  <c r="P39" i="8"/>
  <c r="P36" i="8"/>
  <c r="P37" i="8"/>
  <c r="P35" i="8"/>
  <c r="W26" i="8" l="1"/>
  <c r="W25" i="8"/>
  <c r="W21" i="8"/>
  <c r="W20" i="8"/>
  <c r="W18" i="8"/>
  <c r="W19" i="8" s="1"/>
  <c r="W16" i="8"/>
  <c r="W15" i="8"/>
  <c r="W13" i="8"/>
  <c r="W11" i="8"/>
  <c r="W12" i="8"/>
  <c r="S27" i="8" l="1"/>
  <c r="S28" i="8"/>
  <c r="S22" i="8"/>
  <c r="S23" i="8"/>
  <c r="S15" i="8"/>
  <c r="R28" i="8"/>
  <c r="R23" i="8"/>
  <c r="R22" i="8"/>
  <c r="R15" i="8"/>
  <c r="N58" i="7"/>
  <c r="N60" i="7"/>
  <c r="N61" i="7"/>
  <c r="N23" i="7"/>
  <c r="N2" i="7" a="1"/>
  <c r="N2" i="7" s="1"/>
  <c r="P2" i="8" s="1"/>
  <c r="N36" i="6"/>
  <c r="R36" i="6" s="1"/>
  <c r="N3" i="6"/>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N6" i="6"/>
  <c r="N8" i="6"/>
  <c r="N9" i="6"/>
  <c r="N12" i="6"/>
  <c r="R12" i="6" s="1"/>
  <c r="N13" i="6"/>
  <c r="N15" i="6"/>
  <c r="N21" i="6"/>
  <c r="N22" i="6"/>
  <c r="N24" i="6"/>
  <c r="N25" i="6"/>
  <c r="N26" i="6"/>
  <c r="N28" i="6"/>
  <c r="R170" i="34" l="1"/>
  <c r="R171" i="34"/>
  <c r="R172" i="34"/>
  <c r="R173" i="34"/>
  <c r="P176" i="20"/>
  <c r="Q176" i="20" s="1"/>
  <c r="P175" i="20"/>
  <c r="Q175" i="20" s="1"/>
  <c r="A200" i="8"/>
  <c r="P4" i="10"/>
  <c r="P202" i="20"/>
  <c r="Q202" i="20" s="1"/>
  <c r="A218" i="12"/>
  <c r="A219" i="12" s="1"/>
  <c r="A220" i="12" s="1"/>
  <c r="A221" i="12" s="1"/>
  <c r="A222" i="12" s="1"/>
  <c r="A223" i="12" s="1"/>
  <c r="A224" i="12" s="1"/>
  <c r="A225" i="12" s="1"/>
  <c r="A226" i="12" s="1"/>
  <c r="A227" i="12" s="1"/>
  <c r="A193" i="8"/>
  <c r="A194" i="8" s="1"/>
  <c r="A195" i="8" s="1"/>
  <c r="A196" i="8" s="1"/>
  <c r="A197" i="8" s="1"/>
  <c r="A198" i="8" s="1"/>
  <c r="P161" i="34"/>
  <c r="P160" i="34"/>
  <c r="P159" i="34"/>
  <c r="P158" i="34"/>
  <c r="P150" i="34"/>
  <c r="P151" i="34"/>
  <c r="P145" i="34"/>
  <c r="P144" i="34"/>
  <c r="P143" i="34"/>
  <c r="V67" i="34"/>
  <c r="V195" i="34"/>
  <c r="V194" i="34"/>
  <c r="V193" i="34"/>
  <c r="V192" i="34"/>
  <c r="V191" i="34"/>
  <c r="V189" i="34"/>
  <c r="V188" i="34"/>
  <c r="V187" i="34"/>
  <c r="V186" i="34"/>
  <c r="V185" i="34"/>
  <c r="V184" i="34"/>
  <c r="V183" i="34"/>
  <c r="V182" i="34"/>
  <c r="V181" i="34"/>
  <c r="V180" i="34"/>
  <c r="V179" i="34"/>
  <c r="V178" i="34"/>
  <c r="V176" i="34"/>
  <c r="V167" i="34"/>
  <c r="V166" i="34"/>
  <c r="V165" i="34"/>
  <c r="V164" i="34"/>
  <c r="V163" i="34"/>
  <c r="V162" i="34"/>
  <c r="V161" i="34"/>
  <c r="V160" i="34"/>
  <c r="V159" i="34"/>
  <c r="V158" i="34"/>
  <c r="V157" i="34"/>
  <c r="V156" i="34"/>
  <c r="V155" i="34"/>
  <c r="V154" i="34"/>
  <c r="V151" i="34"/>
  <c r="V150" i="34"/>
  <c r="V149" i="34"/>
  <c r="V139" i="34"/>
  <c r="V138" i="34"/>
  <c r="V137" i="34"/>
  <c r="V136" i="34"/>
  <c r="V130" i="34"/>
  <c r="V129" i="34"/>
  <c r="V128" i="34"/>
  <c r="V127" i="34"/>
  <c r="V126" i="34"/>
  <c r="V125" i="34"/>
  <c r="V124" i="34"/>
  <c r="V123" i="34"/>
  <c r="V122" i="34"/>
  <c r="V105" i="34"/>
  <c r="V103" i="34"/>
  <c r="V99" i="34"/>
  <c r="V98" i="34"/>
  <c r="V97" i="34"/>
  <c r="V96" i="34"/>
  <c r="V91" i="34"/>
  <c r="V89" i="34"/>
  <c r="V88" i="34"/>
  <c r="V87" i="34"/>
  <c r="V86" i="34"/>
  <c r="V85" i="34"/>
  <c r="V84" i="34"/>
  <c r="V83" i="34"/>
  <c r="V82" i="34"/>
  <c r="V81" i="34"/>
  <c r="V80" i="34"/>
  <c r="V79" i="34"/>
  <c r="V78" i="34"/>
  <c r="V75" i="34"/>
  <c r="V74" i="34"/>
  <c r="V73" i="34"/>
  <c r="V72" i="34"/>
  <c r="V71" i="34"/>
  <c r="V70" i="34"/>
  <c r="V69" i="34"/>
  <c r="V68" i="34"/>
  <c r="V65" i="34"/>
  <c r="V64" i="34"/>
  <c r="V63" i="34"/>
  <c r="V61" i="34"/>
  <c r="V60" i="34"/>
  <c r="V59" i="34"/>
  <c r="V58" i="34"/>
  <c r="V57" i="34"/>
  <c r="J42" i="34"/>
  <c r="J43" i="34"/>
  <c r="J50" i="34"/>
  <c r="J51" i="34"/>
  <c r="J52" i="34"/>
  <c r="J41" i="34"/>
  <c r="I42" i="34"/>
  <c r="I43" i="34"/>
  <c r="I50" i="34"/>
  <c r="I51" i="34"/>
  <c r="I52" i="34"/>
  <c r="I41" i="34"/>
  <c r="V18" i="34"/>
  <c r="V19" i="34"/>
  <c r="V20" i="34"/>
  <c r="V21" i="34"/>
  <c r="V22" i="34"/>
  <c r="V23" i="34"/>
  <c r="V24" i="34"/>
  <c r="V25" i="34"/>
  <c r="V26" i="34"/>
  <c r="V27" i="34"/>
  <c r="V28" i="34"/>
  <c r="V29" i="34"/>
  <c r="V30" i="34"/>
  <c r="V31" i="34"/>
  <c r="V32" i="34"/>
  <c r="V33" i="34"/>
  <c r="V34" i="34"/>
  <c r="V35" i="34"/>
  <c r="V36" i="34"/>
  <c r="V17" i="34"/>
  <c r="J11" i="34"/>
  <c r="J12" i="34"/>
  <c r="J13" i="34"/>
  <c r="J14" i="34"/>
  <c r="J15" i="34"/>
  <c r="J10" i="34"/>
  <c r="I11" i="34"/>
  <c r="I12" i="34"/>
  <c r="I13" i="34"/>
  <c r="I14" i="34"/>
  <c r="I15" i="34"/>
  <c r="I10" i="34"/>
  <c r="J5" i="34"/>
  <c r="J6" i="34"/>
  <c r="J7" i="34"/>
  <c r="J4" i="34"/>
  <c r="I5" i="34"/>
  <c r="I6" i="34"/>
  <c r="I7" i="34"/>
  <c r="I4" i="34"/>
  <c r="T17" i="34"/>
  <c r="U17" i="34" s="1"/>
  <c r="U195" i="34"/>
  <c r="U194" i="34"/>
  <c r="U193" i="34"/>
  <c r="U192" i="34"/>
  <c r="U191" i="34"/>
  <c r="U189" i="34"/>
  <c r="U188" i="34"/>
  <c r="U187" i="34"/>
  <c r="U186" i="34"/>
  <c r="U185" i="34"/>
  <c r="U184" i="34"/>
  <c r="U183" i="34"/>
  <c r="U182" i="34"/>
  <c r="U181" i="34"/>
  <c r="U180" i="34"/>
  <c r="U179" i="34"/>
  <c r="U178" i="34"/>
  <c r="U176" i="34"/>
  <c r="U167" i="34"/>
  <c r="U166" i="34"/>
  <c r="U165" i="34"/>
  <c r="U164" i="34"/>
  <c r="U163" i="34"/>
  <c r="U162" i="34"/>
  <c r="U161" i="34"/>
  <c r="U160" i="34"/>
  <c r="U148" i="34"/>
  <c r="U142" i="34"/>
  <c r="U136" i="34"/>
  <c r="U127" i="34"/>
  <c r="U120" i="34"/>
  <c r="U103" i="34"/>
  <c r="U96" i="34"/>
  <c r="U89" i="34"/>
  <c r="U82" i="34"/>
  <c r="U78" i="34"/>
  <c r="U66" i="34"/>
  <c r="U62" i="34"/>
  <c r="U55" i="34"/>
  <c r="P25" i="34"/>
  <c r="P24" i="34"/>
  <c r="W11" i="34" l="1"/>
  <c r="U10" i="34"/>
  <c r="V12" i="34"/>
  <c r="V11" i="34"/>
  <c r="V7" i="34"/>
  <c r="V5" i="34"/>
  <c r="V15" i="34"/>
  <c r="V14" i="34"/>
  <c r="V13" i="34"/>
  <c r="T5" i="34"/>
  <c r="U5" i="34" s="1"/>
  <c r="T6" i="34"/>
  <c r="U6" i="34" s="1"/>
  <c r="T7" i="34"/>
  <c r="U7" i="34" s="1"/>
  <c r="T11" i="34"/>
  <c r="U11" i="34" s="1"/>
  <c r="T12" i="34"/>
  <c r="U12" i="34" s="1"/>
  <c r="T13" i="34"/>
  <c r="U13" i="34" s="1"/>
  <c r="T14" i="34"/>
  <c r="U14" i="34" s="1"/>
  <c r="T15" i="34"/>
  <c r="U15" i="34" s="1"/>
  <c r="T18" i="34"/>
  <c r="U18" i="34" s="1"/>
  <c r="T19" i="34"/>
  <c r="U19" i="34" s="1"/>
  <c r="T20" i="34"/>
  <c r="U20" i="34" s="1"/>
  <c r="T21" i="34"/>
  <c r="U21" i="34" s="1"/>
  <c r="T22" i="34"/>
  <c r="U22" i="34" s="1"/>
  <c r="T23" i="34"/>
  <c r="U23" i="34" s="1"/>
  <c r="T24" i="34"/>
  <c r="U24" i="34" s="1"/>
  <c r="T25" i="34"/>
  <c r="U25" i="34" s="1"/>
  <c r="T26" i="34"/>
  <c r="U26" i="34" s="1"/>
  <c r="T27" i="34"/>
  <c r="U27" i="34" s="1"/>
  <c r="T28" i="34"/>
  <c r="U28" i="34" s="1"/>
  <c r="T29" i="34"/>
  <c r="U29" i="34" s="1"/>
  <c r="T30" i="34"/>
  <c r="U30" i="34" s="1"/>
  <c r="T31" i="34"/>
  <c r="U31" i="34" s="1"/>
  <c r="T32" i="34"/>
  <c r="U32" i="34" s="1"/>
  <c r="T33" i="34"/>
  <c r="U33" i="34" s="1"/>
  <c r="T34" i="34"/>
  <c r="U34" i="34" s="1"/>
  <c r="T35" i="34"/>
  <c r="U35" i="34" s="1"/>
  <c r="T36" i="34"/>
  <c r="U36" i="34" s="1"/>
  <c r="T37" i="34"/>
  <c r="U37" i="34" s="1"/>
  <c r="T41" i="34"/>
  <c r="U41" i="34" s="1"/>
  <c r="T42" i="34"/>
  <c r="U42" i="34" s="1"/>
  <c r="T43" i="34"/>
  <c r="U43" i="34" s="1"/>
  <c r="T50" i="34"/>
  <c r="U50" i="34" s="1"/>
  <c r="T51" i="34"/>
  <c r="U51" i="34" s="1"/>
  <c r="T52" i="34"/>
  <c r="U52" i="34" s="1"/>
  <c r="T56" i="34"/>
  <c r="U56" i="34" s="1"/>
  <c r="T57" i="34"/>
  <c r="U57" i="34" s="1"/>
  <c r="T58" i="34"/>
  <c r="U58" i="34" s="1"/>
  <c r="T59" i="34"/>
  <c r="U59" i="34" s="1"/>
  <c r="T60" i="34"/>
  <c r="U60" i="34" s="1"/>
  <c r="T61" i="34"/>
  <c r="U61" i="34" s="1"/>
  <c r="T64" i="34"/>
  <c r="T65" i="34"/>
  <c r="T67" i="34"/>
  <c r="U67" i="34" s="1"/>
  <c r="T68" i="34"/>
  <c r="U68" i="34" s="1"/>
  <c r="T69" i="34"/>
  <c r="U69" i="34" s="1"/>
  <c r="T70" i="34"/>
  <c r="U70" i="34" s="1"/>
  <c r="T71" i="34"/>
  <c r="U71" i="34" s="1"/>
  <c r="T72" i="34"/>
  <c r="U72" i="34" s="1"/>
  <c r="T73" i="34"/>
  <c r="U73" i="34" s="1"/>
  <c r="T74" i="34"/>
  <c r="U74" i="34" s="1"/>
  <c r="T75" i="34"/>
  <c r="U75" i="34" s="1"/>
  <c r="T79" i="34"/>
  <c r="U79" i="34" s="1"/>
  <c r="T80" i="34"/>
  <c r="U80" i="34" s="1"/>
  <c r="T81" i="34"/>
  <c r="U81" i="34" s="1"/>
  <c r="T83" i="34"/>
  <c r="U83" i="34" s="1"/>
  <c r="T84" i="34"/>
  <c r="U84" i="34" s="1"/>
  <c r="T85" i="34"/>
  <c r="U85" i="34" s="1"/>
  <c r="T86" i="34"/>
  <c r="U86" i="34" s="1"/>
  <c r="T87" i="34"/>
  <c r="U87" i="34" s="1"/>
  <c r="T88" i="34"/>
  <c r="U88" i="34" s="1"/>
  <c r="T90" i="34"/>
  <c r="U90" i="34" s="1"/>
  <c r="T91" i="34"/>
  <c r="U91" i="34" s="1"/>
  <c r="T92" i="34"/>
  <c r="U92" i="34" s="1"/>
  <c r="T97" i="34"/>
  <c r="U97" i="34" s="1"/>
  <c r="T98" i="34"/>
  <c r="U98" i="34" s="1"/>
  <c r="T99" i="34"/>
  <c r="U99" i="34" s="1"/>
  <c r="T104" i="34"/>
  <c r="U104" i="34" s="1"/>
  <c r="T105" i="34"/>
  <c r="U105" i="34" s="1"/>
  <c r="T106" i="34"/>
  <c r="U106" i="34" s="1"/>
  <c r="T121" i="34"/>
  <c r="U121" i="34" s="1"/>
  <c r="T122" i="34"/>
  <c r="U122" i="34" s="1"/>
  <c r="T123" i="34"/>
  <c r="U123" i="34" s="1"/>
  <c r="T124" i="34"/>
  <c r="U124" i="34" s="1"/>
  <c r="T125" i="34"/>
  <c r="U125" i="34" s="1"/>
  <c r="T126" i="34"/>
  <c r="U126" i="34" s="1"/>
  <c r="T128" i="34"/>
  <c r="U128" i="34" s="1"/>
  <c r="T129" i="34"/>
  <c r="U129" i="34" s="1"/>
  <c r="T130" i="34"/>
  <c r="U130" i="34" s="1"/>
  <c r="T137" i="34"/>
  <c r="U137" i="34" s="1"/>
  <c r="T138" i="34"/>
  <c r="U138" i="34" s="1"/>
  <c r="T139" i="34"/>
  <c r="U139" i="34" s="1"/>
  <c r="T140" i="34"/>
  <c r="U140" i="34" s="1"/>
  <c r="T143" i="34"/>
  <c r="U143" i="34" s="1"/>
  <c r="T144" i="34"/>
  <c r="U144" i="34" s="1"/>
  <c r="T145" i="34"/>
  <c r="U145" i="34" s="1"/>
  <c r="T154" i="34"/>
  <c r="U154" i="34" s="1"/>
  <c r="T155" i="34"/>
  <c r="U155" i="34" s="1"/>
  <c r="T156" i="34"/>
  <c r="U156" i="34" s="1"/>
  <c r="T157" i="34"/>
  <c r="U157" i="34" s="1"/>
  <c r="T158" i="34"/>
  <c r="U158" i="34" s="1"/>
  <c r="T159" i="34"/>
  <c r="U159" i="34" s="1"/>
  <c r="A5" i="34" l="1"/>
  <c r="A6" i="34" s="1"/>
  <c r="A7" i="34" s="1"/>
  <c r="A10" i="34" s="1"/>
  <c r="A11" i="34" s="1"/>
  <c r="A12" i="34" s="1"/>
  <c r="A13" i="34" s="1"/>
  <c r="A14" i="34" s="1"/>
  <c r="A15" i="34" s="1"/>
  <c r="A17" i="34" s="1"/>
  <c r="A18" i="34" s="1"/>
  <c r="A19" i="34" s="1"/>
  <c r="A20" i="34" s="1"/>
  <c r="A21" i="34" s="1"/>
  <c r="A22" i="34" s="1"/>
  <c r="A23" i="34" s="1"/>
  <c r="A24" i="34" s="1"/>
  <c r="A25" i="34" s="1"/>
  <c r="A26" i="34" s="1"/>
  <c r="A27" i="34" s="1"/>
  <c r="A28" i="34" s="1"/>
  <c r="A29" i="34" s="1"/>
  <c r="A30" i="34" s="1"/>
  <c r="A31" i="34" s="1"/>
  <c r="A32" i="34" s="1"/>
  <c r="A33" i="34" s="1"/>
  <c r="A34" i="34" s="1"/>
  <c r="A35" i="34" s="1"/>
  <c r="A36" i="34" s="1"/>
  <c r="A37" i="34" s="1"/>
  <c r="A38" i="34" l="1"/>
  <c r="A39" i="34" s="1"/>
  <c r="A41" i="34" s="1"/>
  <c r="A42" i="34" s="1"/>
  <c r="A43" i="34" s="1"/>
  <c r="A44" i="34" s="1"/>
  <c r="A45" i="34" s="1"/>
  <c r="A46" i="34" s="1"/>
  <c r="P5" i="10"/>
  <c r="P11" i="10"/>
  <c r="P12" i="10"/>
  <c r="P13" i="10"/>
  <c r="P14" i="10"/>
  <c r="P15" i="10"/>
  <c r="P16" i="10"/>
  <c r="P10" i="10"/>
  <c r="AA5" i="10"/>
  <c r="Z5" i="10"/>
  <c r="A47" i="34" l="1"/>
  <c r="A48" i="34" s="1"/>
  <c r="A49" i="34" s="1"/>
  <c r="A50" i="34" s="1"/>
  <c r="A51" i="34" s="1"/>
  <c r="A52" i="34" s="1"/>
  <c r="A53" i="34" s="1"/>
  <c r="A54" i="34" s="1"/>
  <c r="A56" i="34" s="1"/>
  <c r="A225" i="20"/>
  <c r="A226" i="20" s="1"/>
  <c r="A222" i="20"/>
  <c r="A223" i="20" s="1"/>
  <c r="A218" i="20"/>
  <c r="A219" i="20" s="1"/>
  <c r="A220" i="20" s="1"/>
  <c r="A212" i="20"/>
  <c r="A213" i="20" s="1"/>
  <c r="A214" i="20" s="1"/>
  <c r="A215" i="20" s="1"/>
  <c r="A216" i="20" s="1"/>
  <c r="A175" i="20"/>
  <c r="A176" i="20" s="1"/>
  <c r="A177" i="20" s="1"/>
  <c r="A178" i="20" s="1"/>
  <c r="A179" i="20" s="1"/>
  <c r="A180" i="20" s="1"/>
  <c r="A181" i="20" s="1"/>
  <c r="A182" i="20" s="1"/>
  <c r="A183" i="20" s="1"/>
  <c r="A184" i="20" s="1"/>
  <c r="A185" i="20" s="1"/>
  <c r="A186" i="20" s="1"/>
  <c r="A187" i="20" s="1"/>
  <c r="A188" i="20" s="1"/>
  <c r="A189" i="20" s="1"/>
  <c r="A190" i="20" s="1"/>
  <c r="A191" i="20" s="1"/>
  <c r="A192" i="20" s="1"/>
  <c r="A193" i="20" s="1"/>
  <c r="A194" i="20" s="1"/>
  <c r="A195" i="20" s="1"/>
  <c r="A196" i="20" s="1"/>
  <c r="A197" i="20" s="1"/>
  <c r="A198" i="20" s="1"/>
  <c r="A199" i="20" s="1"/>
  <c r="A200" i="20" s="1"/>
  <c r="A201" i="20" s="1"/>
  <c r="A202" i="20" s="1"/>
  <c r="A203" i="20" s="1"/>
  <c r="A109" i="20"/>
  <c r="A110" i="20" s="1"/>
  <c r="A111" i="20" s="1"/>
  <c r="A112" i="20" s="1"/>
  <c r="A113" i="20" s="1"/>
  <c r="A114" i="20" s="1"/>
  <c r="A115" i="20" s="1"/>
  <c r="A118" i="20" s="1"/>
  <c r="A119" i="20" s="1"/>
  <c r="A120" i="20" s="1"/>
  <c r="A121" i="20" s="1"/>
  <c r="A122" i="20" s="1"/>
  <c r="A123" i="20" s="1"/>
  <c r="A124" i="20" s="1"/>
  <c r="A127" i="20" s="1"/>
  <c r="A128" i="20" s="1"/>
  <c r="A129" i="20" s="1"/>
  <c r="A130" i="20" s="1"/>
  <c r="A131" i="20" s="1"/>
  <c r="A132" i="20" s="1"/>
  <c r="A133" i="20" s="1"/>
  <c r="A134" i="20" s="1"/>
  <c r="A135" i="20" s="1"/>
  <c r="A138" i="20" s="1"/>
  <c r="A139" i="20" s="1"/>
  <c r="A140" i="20" s="1"/>
  <c r="A141" i="20" s="1"/>
  <c r="A142" i="20" s="1"/>
  <c r="A143" i="20" s="1"/>
  <c r="A144" i="20" s="1"/>
  <c r="A145" i="20" s="1"/>
  <c r="A146" i="20" s="1"/>
  <c r="A147" i="20" s="1"/>
  <c r="A148" i="20" s="1"/>
  <c r="A149" i="20" s="1"/>
  <c r="A152" i="20" s="1"/>
  <c r="A153" i="20" s="1"/>
  <c r="A154" i="20" s="1"/>
  <c r="A155" i="20" s="1"/>
  <c r="A156" i="20" s="1"/>
  <c r="A159" i="20" s="1"/>
  <c r="A160" i="20" s="1"/>
  <c r="A161" i="20" s="1"/>
  <c r="A162" i="20" s="1"/>
  <c r="A163" i="20" s="1"/>
  <c r="A164" i="20" s="1"/>
  <c r="A165" i="20" s="1"/>
  <c r="A166" i="20" s="1"/>
  <c r="A167" i="20" s="1"/>
  <c r="A169" i="20" s="1"/>
  <c r="A171" i="20" s="1"/>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P85" i="20"/>
  <c r="Q85" i="20" s="1"/>
  <c r="P86" i="20"/>
  <c r="Q86" i="20" s="1"/>
  <c r="P212" i="20"/>
  <c r="Q212" i="20" s="1"/>
  <c r="P213" i="20"/>
  <c r="Q213" i="20" s="1"/>
  <c r="P214" i="20"/>
  <c r="Q214" i="20" s="1"/>
  <c r="P215" i="20"/>
  <c r="Q215" i="20" s="1"/>
  <c r="P216" i="20"/>
  <c r="Q216" i="20" s="1"/>
  <c r="P218" i="20"/>
  <c r="Q218" i="20" s="1"/>
  <c r="P219" i="20"/>
  <c r="Q219" i="20" s="1"/>
  <c r="P220" i="20"/>
  <c r="Q220" i="20" s="1"/>
  <c r="P222" i="20"/>
  <c r="Q222" i="20" s="1"/>
  <c r="P223" i="20"/>
  <c r="Q223" i="20" s="1"/>
  <c r="P225" i="20"/>
  <c r="Q225" i="20" s="1"/>
  <c r="P226" i="20"/>
  <c r="Q226" i="20" s="1"/>
  <c r="A31" i="11" l="1"/>
  <c r="A32" i="11" s="1"/>
  <c r="A33" i="11" s="1"/>
  <c r="A34" i="11" s="1"/>
  <c r="A35" i="11" s="1"/>
  <c r="A36" i="11" s="1"/>
  <c r="A37" i="11" s="1"/>
  <c r="A38" i="11" s="1"/>
  <c r="A39" i="11" s="1"/>
  <c r="A40" i="11" s="1"/>
  <c r="A57" i="34"/>
  <c r="A58" i="34" s="1"/>
  <c r="A59" i="34" s="1"/>
  <c r="A60" i="34" s="1"/>
  <c r="A61" i="34" s="1"/>
  <c r="A63" i="34" s="1"/>
  <c r="A64" i="34" s="1"/>
  <c r="A65" i="34" s="1"/>
  <c r="A67" i="34" s="1"/>
  <c r="A68" i="34" s="1"/>
  <c r="A69" i="34" s="1"/>
  <c r="A70" i="34" s="1"/>
  <c r="A71" i="34" s="1"/>
  <c r="A72" i="34" s="1"/>
  <c r="A73" i="34" s="1"/>
  <c r="A74" i="34" s="1"/>
  <c r="A75" i="34" s="1"/>
  <c r="A172" i="20"/>
  <c r="A173" i="20" s="1"/>
  <c r="A41" i="11" l="1"/>
  <c r="A42" i="11" s="1"/>
  <c r="A43" i="11" s="1"/>
  <c r="A44" i="11"/>
  <c r="A45" i="11" s="1"/>
  <c r="A46" i="11" s="1"/>
  <c r="A47" i="11" s="1"/>
  <c r="A48" i="11" s="1"/>
  <c r="A49" i="11" s="1"/>
  <c r="A76" i="34"/>
  <c r="A77" i="34" s="1"/>
  <c r="A79" i="34" s="1"/>
  <c r="A80" i="34" s="1"/>
  <c r="A81" i="34" s="1"/>
  <c r="A83" i="34" s="1"/>
  <c r="A84" i="34" s="1"/>
  <c r="A85" i="34" s="1"/>
  <c r="A86" i="34" s="1"/>
  <c r="A87" i="34" s="1"/>
  <c r="A88" i="34" s="1"/>
  <c r="A90" i="34" s="1"/>
  <c r="A91" i="34" s="1"/>
  <c r="A92" i="34" s="1"/>
  <c r="T151" i="34"/>
  <c r="U151" i="34" s="1"/>
  <c r="F46" i="31"/>
  <c r="G46" i="31" s="1"/>
  <c r="F45" i="31"/>
  <c r="G45" i="31" s="1"/>
  <c r="F44" i="31"/>
  <c r="G44" i="31" s="1"/>
  <c r="F43" i="31"/>
  <c r="G43" i="31" s="1"/>
  <c r="F42" i="31"/>
  <c r="G42" i="31" s="1"/>
  <c r="F40" i="31"/>
  <c r="G40" i="31" s="1"/>
  <c r="F39" i="31"/>
  <c r="G39" i="31" s="1"/>
  <c r="F37" i="31"/>
  <c r="G37" i="31" s="1"/>
  <c r="F36" i="31"/>
  <c r="G36" i="31" s="1"/>
  <c r="F35" i="31"/>
  <c r="G35" i="31" s="1"/>
  <c r="F34" i="31"/>
  <c r="G34" i="31" s="1"/>
  <c r="F33" i="31"/>
  <c r="G33" i="31" s="1"/>
  <c r="F32" i="31"/>
  <c r="G32" i="31" s="1"/>
  <c r="F31" i="31"/>
  <c r="G31" i="31" s="1"/>
  <c r="F30" i="31"/>
  <c r="G30" i="31" s="1"/>
  <c r="F28" i="31"/>
  <c r="G28" i="31" s="1"/>
  <c r="F26" i="31"/>
  <c r="G26" i="31" s="1"/>
  <c r="F23" i="31"/>
  <c r="G23" i="31" s="1"/>
  <c r="F22" i="31"/>
  <c r="G22" i="31" s="1"/>
  <c r="F20" i="31"/>
  <c r="G20" i="31" s="1"/>
  <c r="F19" i="31"/>
  <c r="G19" i="31" s="1"/>
  <c r="F18" i="31"/>
  <c r="G18" i="31" s="1"/>
  <c r="F17" i="31"/>
  <c r="G17" i="31" s="1"/>
  <c r="F16" i="31"/>
  <c r="G16" i="31" s="1"/>
  <c r="I16" i="31" s="1"/>
  <c r="F15" i="31"/>
  <c r="G15" i="31" s="1"/>
  <c r="I15" i="31" s="1"/>
  <c r="F14" i="31"/>
  <c r="G14" i="31" s="1"/>
  <c r="I14" i="31" s="1"/>
  <c r="F13" i="31"/>
  <c r="G13" i="31" s="1"/>
  <c r="I13" i="31" s="1"/>
  <c r="F11" i="31"/>
  <c r="G11" i="31" s="1"/>
  <c r="F10" i="31"/>
  <c r="G10" i="31" s="1"/>
  <c r="F5" i="31"/>
  <c r="F6" i="31"/>
  <c r="F7" i="31"/>
  <c r="F8" i="31"/>
  <c r="F4" i="31"/>
  <c r="A93" i="34" l="1"/>
  <c r="A94" i="34" s="1"/>
  <c r="A95" i="34" s="1"/>
  <c r="A97" i="34" s="1"/>
  <c r="A98" i="34" s="1"/>
  <c r="A99" i="34" s="1"/>
  <c r="T149" i="34"/>
  <c r="U149" i="34" s="1"/>
  <c r="P149" i="34"/>
  <c r="O2" i="11"/>
  <c r="N2" i="11"/>
  <c r="O2" i="12" s="1"/>
  <c r="M2" i="11"/>
  <c r="N2" i="12" s="1"/>
  <c r="M59" i="7"/>
  <c r="N59" i="7" s="1"/>
  <c r="O102" i="9"/>
  <c r="O103" i="9"/>
  <c r="O101" i="9"/>
  <c r="P80" i="10"/>
  <c r="P84" i="20"/>
  <c r="Q84" i="20" s="1"/>
  <c r="A175" i="12"/>
  <c r="A176" i="12" s="1"/>
  <c r="A177" i="12" s="1"/>
  <c r="A178" i="12" s="1"/>
  <c r="A179" i="12" s="1"/>
  <c r="A180" i="12" s="1"/>
  <c r="A167" i="12"/>
  <c r="A168" i="12"/>
  <c r="A169" i="12" s="1"/>
  <c r="A170" i="12" s="1"/>
  <c r="A171" i="12" s="1"/>
  <c r="A172" i="12" s="1"/>
  <c r="A173" i="12" s="1"/>
  <c r="A125" i="12"/>
  <c r="A126" i="12" s="1"/>
  <c r="A127" i="12" s="1"/>
  <c r="A128" i="12" s="1"/>
  <c r="A121" i="12"/>
  <c r="A122" i="12" s="1"/>
  <c r="A123" i="12" s="1"/>
  <c r="A116" i="12"/>
  <c r="A117" i="12" s="1"/>
  <c r="A118" i="12" s="1"/>
  <c r="A119" i="12" s="1"/>
  <c r="A110" i="12"/>
  <c r="A111" i="12" s="1"/>
  <c r="A112" i="12" s="1"/>
  <c r="A113" i="12" s="1"/>
  <c r="A114" i="12" s="1"/>
  <c r="A105" i="12"/>
  <c r="A106" i="12" s="1"/>
  <c r="A107" i="12" s="1"/>
  <c r="A108" i="12" s="1"/>
  <c r="A92" i="12"/>
  <c r="A93" i="12" s="1"/>
  <c r="A94" i="12" s="1"/>
  <c r="A95" i="12" s="1"/>
  <c r="A96" i="12" s="1"/>
  <c r="A97" i="12" s="1"/>
  <c r="A98" i="12" s="1"/>
  <c r="A99" i="12" s="1"/>
  <c r="A100" i="12" s="1"/>
  <c r="A101" i="12" s="1"/>
  <c r="A102" i="12" s="1"/>
  <c r="A103" i="12" s="1"/>
  <c r="A79" i="12"/>
  <c r="A80" i="12" s="1"/>
  <c r="A81" i="12" s="1"/>
  <c r="A82" i="12" s="1"/>
  <c r="A83" i="12" s="1"/>
  <c r="A84" i="12" s="1"/>
  <c r="A85" i="12" s="1"/>
  <c r="A86" i="12" s="1"/>
  <c r="A87" i="12" s="1"/>
  <c r="A88" i="12" s="1"/>
  <c r="A89" i="12" s="1"/>
  <c r="A90" i="12" s="1"/>
  <c r="A66" i="12"/>
  <c r="A67" i="12" s="1"/>
  <c r="A68" i="12" s="1"/>
  <c r="A69" i="12" s="1"/>
  <c r="A70" i="12" s="1"/>
  <c r="A71" i="12" s="1"/>
  <c r="A72" i="12" s="1"/>
  <c r="A73" i="12" s="1"/>
  <c r="A74" i="12" s="1"/>
  <c r="A75" i="12" s="1"/>
  <c r="A76" i="12" s="1"/>
  <c r="A77" i="12" s="1"/>
  <c r="A51" i="12"/>
  <c r="A52" i="12" s="1"/>
  <c r="A53" i="12" s="1"/>
  <c r="A54" i="12" s="1"/>
  <c r="A55" i="12" s="1"/>
  <c r="A56" i="12" s="1"/>
  <c r="A57" i="12" s="1"/>
  <c r="A58" i="12" s="1"/>
  <c r="A59" i="12" s="1"/>
  <c r="A60" i="12" s="1"/>
  <c r="A61" i="12" s="1"/>
  <c r="A62" i="12" s="1"/>
  <c r="A63" i="12" s="1"/>
  <c r="A64" i="12" s="1"/>
  <c r="A148" i="9"/>
  <c r="A149" i="9" s="1"/>
  <c r="A150" i="9" s="1"/>
  <c r="A151" i="9" s="1"/>
  <c r="A152" i="9" s="1"/>
  <c r="A153" i="9" s="1"/>
  <c r="A154" i="9" s="1"/>
  <c r="A155" i="9" s="1"/>
  <c r="S26" i="8"/>
  <c r="S19" i="8"/>
  <c r="I55" i="8"/>
  <c r="J55" i="8" s="1"/>
  <c r="K55" i="8" s="1"/>
  <c r="L55" i="8" s="1"/>
  <c r="M55" i="8" s="1"/>
  <c r="N55" i="8" s="1"/>
  <c r="P55" i="8" s="1"/>
  <c r="A142" i="9"/>
  <c r="A143" i="9" s="1"/>
  <c r="A144" i="9" s="1"/>
  <c r="A145" i="9" s="1"/>
  <c r="A134" i="9"/>
  <c r="A135" i="9" s="1"/>
  <c r="A136" i="9" s="1"/>
  <c r="A137" i="9" s="1"/>
  <c r="A138" i="9" s="1"/>
  <c r="A130" i="9"/>
  <c r="A131" i="9" s="1"/>
  <c r="A132" i="9" s="1"/>
  <c r="A126" i="9"/>
  <c r="A127" i="9" s="1"/>
  <c r="A128" i="9" s="1"/>
  <c r="A117" i="9"/>
  <c r="A118" i="9" s="1"/>
  <c r="A119" i="9" s="1"/>
  <c r="A120" i="9" s="1"/>
  <c r="A121" i="9" s="1"/>
  <c r="A122" i="9" s="1"/>
  <c r="A123" i="9" s="1"/>
  <c r="A124" i="9" s="1"/>
  <c r="A105" i="9"/>
  <c r="A106" i="9" s="1"/>
  <c r="A107" i="9" s="1"/>
  <c r="A108" i="9" s="1"/>
  <c r="A109" i="9" s="1"/>
  <c r="A110" i="9" s="1"/>
  <c r="A111" i="9" s="1"/>
  <c r="A112" i="9" s="1"/>
  <c r="A113" i="9" s="1"/>
  <c r="A114" i="9" s="1"/>
  <c r="A115" i="9" s="1"/>
  <c r="A28" i="9"/>
  <c r="A29" i="9" s="1"/>
  <c r="A30" i="9" s="1"/>
  <c r="A24" i="9"/>
  <c r="A25" i="9" s="1"/>
  <c r="A26" i="9" s="1"/>
  <c r="A14" i="9"/>
  <c r="A15" i="9" s="1"/>
  <c r="A16" i="9" s="1"/>
  <c r="A17" i="9" s="1"/>
  <c r="A18" i="9" s="1"/>
  <c r="A19" i="9" s="1"/>
  <c r="A20" i="9" s="1"/>
  <c r="A21" i="9" s="1"/>
  <c r="A22" i="9" s="1"/>
  <c r="A10" i="9"/>
  <c r="A11" i="9" s="1"/>
  <c r="A4" i="9"/>
  <c r="A5" i="9" s="1"/>
  <c r="A6" i="9" s="1"/>
  <c r="A7" i="9" s="1"/>
  <c r="A31" i="7"/>
  <c r="A32" i="7" s="1"/>
  <c r="A33" i="7" s="1"/>
  <c r="A26" i="7"/>
  <c r="A27" i="7" s="1"/>
  <c r="A28" i="7" s="1"/>
  <c r="A22" i="7"/>
  <c r="A23" i="7" s="1"/>
  <c r="A4" i="7"/>
  <c r="A5" i="7" s="1"/>
  <c r="A6" i="7" s="1"/>
  <c r="A7" i="7" s="1"/>
  <c r="A8" i="7" s="1"/>
  <c r="A9" i="7" s="1"/>
  <c r="A55" i="7"/>
  <c r="A56" i="7" s="1"/>
  <c r="A57" i="7" s="1"/>
  <c r="A41" i="7"/>
  <c r="A42" i="7" s="1"/>
  <c r="A43" i="7" s="1"/>
  <c r="A44" i="7" s="1"/>
  <c r="A116" i="8"/>
  <c r="A117" i="8" s="1"/>
  <c r="A118" i="8" s="1"/>
  <c r="A119" i="8" s="1"/>
  <c r="A120" i="8" s="1"/>
  <c r="A121" i="8" s="1"/>
  <c r="A122" i="8" s="1"/>
  <c r="A123" i="8" s="1"/>
  <c r="A124" i="8" s="1"/>
  <c r="A125" i="8" s="1"/>
  <c r="A126" i="8" s="1"/>
  <c r="A127" i="8" s="1"/>
  <c r="A110" i="8"/>
  <c r="A111" i="8" s="1"/>
  <c r="A112" i="8" s="1"/>
  <c r="A113" i="8" s="1"/>
  <c r="A114" i="8" s="1"/>
  <c r="A103" i="8"/>
  <c r="A104" i="8" s="1"/>
  <c r="A105" i="8" s="1"/>
  <c r="A106" i="8" s="1"/>
  <c r="A107" i="8" s="1"/>
  <c r="A108" i="8" s="1"/>
  <c r="A93" i="8"/>
  <c r="A94" i="8" s="1"/>
  <c r="A95" i="8" s="1"/>
  <c r="A96" i="8" s="1"/>
  <c r="A97" i="8" s="1"/>
  <c r="A98" i="8" s="1"/>
  <c r="A99" i="8" s="1"/>
  <c r="A100" i="8" s="1"/>
  <c r="A101" i="8" s="1"/>
  <c r="A91" i="8"/>
  <c r="A88" i="8"/>
  <c r="A89" i="8" s="1"/>
  <c r="A84" i="8"/>
  <c r="A85" i="8" s="1"/>
  <c r="A86" i="8" s="1"/>
  <c r="A67" i="8"/>
  <c r="A68" i="8" s="1"/>
  <c r="A69" i="8" s="1"/>
  <c r="A70" i="8" s="1"/>
  <c r="A71" i="8" s="1"/>
  <c r="A72" i="8" s="1"/>
  <c r="A73" i="8" s="1"/>
  <c r="A74" i="8" s="1"/>
  <c r="A75" i="8" s="1"/>
  <c r="A76" i="8" s="1"/>
  <c r="A77" i="8" s="1"/>
  <c r="A78" i="8" s="1"/>
  <c r="A79" i="8" s="1"/>
  <c r="A80" i="8" s="1"/>
  <c r="A81" i="8" s="1"/>
  <c r="A63" i="8"/>
  <c r="A64" i="8" s="1"/>
  <c r="A65" i="8" s="1"/>
  <c r="A57" i="8"/>
  <c r="A58" i="8" s="1"/>
  <c r="A59" i="8" s="1"/>
  <c r="A60" i="8" s="1"/>
  <c r="A61" i="8" s="1"/>
  <c r="A54" i="8"/>
  <c r="A55" i="8" s="1"/>
  <c r="A49" i="8"/>
  <c r="A50" i="8" s="1"/>
  <c r="A51" i="8" s="1"/>
  <c r="A52" i="8" s="1"/>
  <c r="A35" i="8"/>
  <c r="A36" i="8" s="1"/>
  <c r="A37" i="8" s="1"/>
  <c r="A38" i="8" s="1"/>
  <c r="A39" i="8" s="1"/>
  <c r="A40" i="8" s="1"/>
  <c r="A41" i="8" s="1"/>
  <c r="A42" i="8" s="1"/>
  <c r="A43" i="8" s="1"/>
  <c r="A44" i="8" s="1"/>
  <c r="A45" i="8" s="1"/>
  <c r="A46" i="8" s="1"/>
  <c r="A47" i="8" s="1"/>
  <c r="A31" i="8"/>
  <c r="A32" i="8" s="1"/>
  <c r="A33" i="8" s="1"/>
  <c r="A25" i="8"/>
  <c r="A26" i="8" s="1"/>
  <c r="A27" i="8" s="1"/>
  <c r="A28" i="8" s="1"/>
  <c r="A29" i="8" s="1"/>
  <c r="A18" i="8"/>
  <c r="A19" i="8" s="1"/>
  <c r="A20" i="8" s="1"/>
  <c r="A21" i="8" s="1"/>
  <c r="A22" i="8" s="1"/>
  <c r="A23" i="8" s="1"/>
  <c r="A129" i="8"/>
  <c r="A130" i="8" s="1"/>
  <c r="A131" i="8" s="1"/>
  <c r="A132" i="8" s="1"/>
  <c r="A133" i="8" s="1"/>
  <c r="A100" i="34" l="1"/>
  <c r="A101" i="34" s="1"/>
  <c r="A102" i="34" s="1"/>
  <c r="A104" i="34" s="1"/>
  <c r="A105" i="34" s="1"/>
  <c r="A106" i="34" s="1"/>
  <c r="R19" i="8"/>
  <c r="R26" i="8"/>
  <c r="A15" i="8"/>
  <c r="A16" i="8" s="1"/>
  <c r="A11" i="8"/>
  <c r="A12" i="8" s="1"/>
  <c r="A13" i="8" s="1"/>
  <c r="A4" i="8"/>
  <c r="A5" i="8" s="1"/>
  <c r="A6" i="8" s="1"/>
  <c r="A7" i="8" s="1"/>
  <c r="A8" i="8" s="1"/>
  <c r="A9" i="8" s="1"/>
  <c r="A188" i="8"/>
  <c r="A189" i="8" s="1"/>
  <c r="A190" i="8" s="1"/>
  <c r="A191" i="8" s="1"/>
  <c r="A183" i="8"/>
  <c r="A184" i="8" s="1"/>
  <c r="A185" i="8" s="1"/>
  <c r="A186" i="8" s="1"/>
  <c r="A179" i="8"/>
  <c r="A180" i="8" s="1"/>
  <c r="A181" i="8" s="1"/>
  <c r="A176" i="8"/>
  <c r="A177" i="8" s="1"/>
  <c r="A167" i="8"/>
  <c r="A168" i="8" s="1"/>
  <c r="A169" i="8" s="1"/>
  <c r="A170" i="8" s="1"/>
  <c r="A171" i="8" s="1"/>
  <c r="A172" i="8" s="1"/>
  <c r="A173" i="8" s="1"/>
  <c r="A174" i="8" s="1"/>
  <c r="A162" i="8"/>
  <c r="A163" i="8" s="1"/>
  <c r="A164" i="8" s="1"/>
  <c r="A165" i="8" s="1"/>
  <c r="A142" i="8"/>
  <c r="A143" i="8" s="1"/>
  <c r="A144" i="8" s="1"/>
  <c r="A145" i="8" s="1"/>
  <c r="A146" i="8" s="1"/>
  <c r="A147" i="8" s="1"/>
  <c r="A148" i="8" s="1"/>
  <c r="A149" i="8" s="1"/>
  <c r="A150" i="8" s="1"/>
  <c r="A151" i="8" s="1"/>
  <c r="A152" i="8" s="1"/>
  <c r="A153" i="8" s="1"/>
  <c r="A154" i="8" s="1"/>
  <c r="A155" i="8" s="1"/>
  <c r="A156" i="8" s="1"/>
  <c r="A157" i="8" s="1"/>
  <c r="A158" i="8" s="1"/>
  <c r="A159" i="8" s="1"/>
  <c r="A160" i="8" s="1"/>
  <c r="A139" i="8"/>
  <c r="A140" i="8" s="1"/>
  <c r="A135" i="8"/>
  <c r="A136" i="8" s="1"/>
  <c r="A137" i="8" s="1"/>
  <c r="A107" i="34" l="1"/>
  <c r="A108" i="34" s="1"/>
  <c r="A109" i="34" s="1"/>
  <c r="A10" i="37"/>
  <c r="A11" i="37" s="1"/>
  <c r="A12" i="37" s="1"/>
  <c r="A13" i="37" s="1"/>
  <c r="A14" i="37" s="1"/>
  <c r="A15" i="37" s="1"/>
  <c r="A16" i="37" s="1"/>
  <c r="A17" i="37" s="1"/>
  <c r="A18" i="37" s="1"/>
  <c r="A19" i="37" s="1"/>
  <c r="A20" i="37" s="1"/>
  <c r="A21" i="37" s="1"/>
  <c r="A22" i="37" s="1"/>
  <c r="A23" i="37" s="1"/>
  <c r="A24" i="37" s="1"/>
  <c r="A25" i="37" s="1"/>
  <c r="A5" i="37"/>
  <c r="A6" i="37" s="1"/>
  <c r="A7" i="37" s="1"/>
  <c r="A8" i="37" s="1"/>
  <c r="A111" i="34" l="1"/>
  <c r="A112" i="34" s="1"/>
  <c r="A113" i="34" s="1"/>
  <c r="P8" i="12"/>
  <c r="Q8" i="12" s="1"/>
  <c r="A114" i="34" l="1"/>
  <c r="A115" i="34" s="1"/>
  <c r="A116" i="34" s="1"/>
  <c r="A117" i="34" s="1"/>
  <c r="A118" i="34" s="1"/>
  <c r="A119" i="34" s="1"/>
  <c r="A121" i="34" s="1"/>
  <c r="A122" i="34" s="1"/>
  <c r="A123" i="34" s="1"/>
  <c r="A124" i="34" s="1"/>
  <c r="A125" i="34" s="1"/>
  <c r="A126" i="34" s="1"/>
  <c r="A128" i="34" s="1"/>
  <c r="A129" i="34" s="1"/>
  <c r="A130" i="34" s="1"/>
  <c r="N18" i="8"/>
  <c r="K2" i="7" a="1"/>
  <c r="K2" i="7" s="1"/>
  <c r="M2" i="8" s="1"/>
  <c r="L2" i="7" a="1"/>
  <c r="L2" i="7" s="1"/>
  <c r="N2" i="8" s="1"/>
  <c r="M2" i="7" a="1"/>
  <c r="M2" i="7" s="1"/>
  <c r="O2" i="8" s="1"/>
  <c r="J2" i="7" a="1"/>
  <c r="J2" i="7" s="1"/>
  <c r="L2" i="8" s="1"/>
  <c r="H4" i="24"/>
  <c r="A138" i="34" l="1"/>
  <c r="A139" i="34" s="1"/>
  <c r="A140" i="34" s="1"/>
  <c r="A141" i="34" s="1"/>
  <c r="A143" i="34" s="1"/>
  <c r="A144" i="34" s="1"/>
  <c r="A145" i="34" s="1"/>
  <c r="A146" i="34" s="1"/>
  <c r="A147" i="34" s="1"/>
  <c r="A149" i="34" s="1"/>
  <c r="A150" i="34" s="1"/>
  <c r="A151" i="34" s="1"/>
  <c r="A154" i="34" s="1"/>
  <c r="A155" i="34" s="1"/>
  <c r="A156" i="34" s="1"/>
  <c r="A157" i="34" s="1"/>
  <c r="A158" i="34" s="1"/>
  <c r="A159" i="34" s="1"/>
  <c r="A160" i="34" s="1"/>
  <c r="A161" i="34" s="1"/>
  <c r="A163" i="34" s="1"/>
  <c r="A164" i="34" s="1"/>
  <c r="A166" i="34" s="1"/>
  <c r="A167" i="34" s="1"/>
  <c r="A169" i="34" s="1"/>
  <c r="A170" i="34" s="1"/>
  <c r="A171" i="34" s="1"/>
  <c r="A172" i="34" s="1"/>
  <c r="A173" i="34" s="1"/>
  <c r="A176" i="34" s="1"/>
  <c r="A178" i="34" s="1"/>
  <c r="A132" i="34"/>
  <c r="A133" i="34" s="1"/>
  <c r="A134" i="34" s="1"/>
  <c r="S18" i="8"/>
  <c r="C19" i="11"/>
  <c r="C3" i="11"/>
  <c r="C17" i="11" s="1"/>
  <c r="C14" i="11"/>
  <c r="C15" i="11" s="1"/>
  <c r="C16" i="11" s="1"/>
  <c r="C9" i="11" s="1"/>
  <c r="P2" i="12"/>
  <c r="O4" i="10"/>
  <c r="R18" i="8" l="1"/>
  <c r="A179" i="34"/>
  <c r="A180" i="34"/>
  <c r="A182" i="34" s="1"/>
  <c r="Z4" i="10"/>
  <c r="AA4" i="10"/>
  <c r="C18" i="11"/>
  <c r="C20" i="11"/>
  <c r="C21" i="11" s="1"/>
  <c r="C22" i="11" s="1"/>
  <c r="K176" i="23"/>
  <c r="L176" i="23" s="1"/>
  <c r="M176" i="23" s="1"/>
  <c r="N19" i="8"/>
  <c r="N20" i="8"/>
  <c r="N21" i="8"/>
  <c r="N13" i="8"/>
  <c r="N16" i="8"/>
  <c r="N15" i="8"/>
  <c r="A181" i="34" l="1"/>
  <c r="S21" i="8"/>
  <c r="A184" i="34"/>
  <c r="A183" i="34"/>
  <c r="S16" i="8"/>
  <c r="S20" i="8"/>
  <c r="O56" i="12"/>
  <c r="P56" i="12" s="1"/>
  <c r="Q56" i="12" s="1"/>
  <c r="O57" i="12"/>
  <c r="P57" i="12" s="1"/>
  <c r="Q57" i="12" s="1"/>
  <c r="O58" i="12"/>
  <c r="P58" i="12" s="1"/>
  <c r="Q58" i="12" s="1"/>
  <c r="O59" i="12"/>
  <c r="P59" i="12" s="1"/>
  <c r="Q59" i="12" s="1"/>
  <c r="O60" i="12"/>
  <c r="P60" i="12" s="1"/>
  <c r="Q60" i="12" s="1"/>
  <c r="E27" i="31"/>
  <c r="F27" i="31" s="1"/>
  <c r="G27" i="31" s="1"/>
  <c r="K56" i="23"/>
  <c r="L56" i="23" s="1"/>
  <c r="M56" i="23" s="1"/>
  <c r="K58" i="23"/>
  <c r="L58" i="23" s="1"/>
  <c r="M58" i="23" s="1"/>
  <c r="K91" i="23"/>
  <c r="L91" i="23" s="1"/>
  <c r="M91" i="23" s="1"/>
  <c r="K134" i="23"/>
  <c r="L134" i="23" s="1"/>
  <c r="M134" i="23" s="1"/>
  <c r="K135" i="23"/>
  <c r="L135" i="23" s="1"/>
  <c r="M135" i="23" s="1"/>
  <c r="K136" i="23"/>
  <c r="L136" i="23" s="1"/>
  <c r="M136" i="23" s="1"/>
  <c r="K137" i="23"/>
  <c r="L137" i="23" s="1"/>
  <c r="M137" i="23" s="1"/>
  <c r="K138" i="23"/>
  <c r="L138" i="23" s="1"/>
  <c r="M138" i="23" s="1"/>
  <c r="K139" i="23"/>
  <c r="L139" i="23" s="1"/>
  <c r="M139" i="23" s="1"/>
  <c r="K140" i="23"/>
  <c r="L140" i="23" s="1"/>
  <c r="M140" i="23" s="1"/>
  <c r="K141" i="23"/>
  <c r="L141" i="23" s="1"/>
  <c r="M141" i="23" s="1"/>
  <c r="K142" i="23"/>
  <c r="L142" i="23" s="1"/>
  <c r="M142" i="23" s="1"/>
  <c r="K143" i="23"/>
  <c r="L143" i="23" s="1"/>
  <c r="M143" i="23" s="1"/>
  <c r="K144" i="23"/>
  <c r="L144" i="23" s="1"/>
  <c r="M144" i="23" s="1"/>
  <c r="K145" i="23"/>
  <c r="L145" i="23" s="1"/>
  <c r="M145" i="23" s="1"/>
  <c r="K146" i="23"/>
  <c r="L146" i="23" s="1"/>
  <c r="M146" i="23" s="1"/>
  <c r="K147" i="23"/>
  <c r="L147" i="23" s="1"/>
  <c r="M147" i="23" s="1"/>
  <c r="K148" i="23"/>
  <c r="L148" i="23" s="1"/>
  <c r="M148" i="23" s="1"/>
  <c r="K149" i="23"/>
  <c r="L149" i="23" s="1"/>
  <c r="M149" i="23" s="1"/>
  <c r="K150" i="23"/>
  <c r="L150" i="23" s="1"/>
  <c r="M150" i="23" s="1"/>
  <c r="K151" i="23"/>
  <c r="L151" i="23" s="1"/>
  <c r="M151" i="23" s="1"/>
  <c r="K152" i="23"/>
  <c r="L152" i="23" s="1"/>
  <c r="M152" i="23" s="1"/>
  <c r="K153" i="23"/>
  <c r="L153" i="23" s="1"/>
  <c r="M153" i="23" s="1"/>
  <c r="K154" i="23"/>
  <c r="L154" i="23" s="1"/>
  <c r="M154" i="23" s="1"/>
  <c r="K155" i="23"/>
  <c r="L155" i="23" s="1"/>
  <c r="M155" i="23" s="1"/>
  <c r="K156" i="23"/>
  <c r="L156" i="23" s="1"/>
  <c r="M156" i="23" s="1"/>
  <c r="K157" i="23"/>
  <c r="L157" i="23" s="1"/>
  <c r="M157" i="23" s="1"/>
  <c r="K158" i="23"/>
  <c r="L158" i="23" s="1"/>
  <c r="M158" i="23" s="1"/>
  <c r="K159" i="23"/>
  <c r="L159" i="23" s="1"/>
  <c r="M159" i="23" s="1"/>
  <c r="K160" i="23"/>
  <c r="L160" i="23" s="1"/>
  <c r="M160" i="23" s="1"/>
  <c r="K161" i="23"/>
  <c r="L161" i="23" s="1"/>
  <c r="M161" i="23" s="1"/>
  <c r="K162" i="23"/>
  <c r="L162" i="23" s="1"/>
  <c r="M162" i="23" s="1"/>
  <c r="K163" i="23"/>
  <c r="L163" i="23" s="1"/>
  <c r="M163" i="23" s="1"/>
  <c r="K164" i="23"/>
  <c r="L164" i="23" s="1"/>
  <c r="M164" i="23" s="1"/>
  <c r="K165" i="23"/>
  <c r="L165" i="23" s="1"/>
  <c r="M165" i="23" s="1"/>
  <c r="K166" i="23"/>
  <c r="L166" i="23" s="1"/>
  <c r="M166" i="23" s="1"/>
  <c r="K167" i="23"/>
  <c r="L167" i="23" s="1"/>
  <c r="M167" i="23" s="1"/>
  <c r="K173" i="23"/>
  <c r="L173" i="23" s="1"/>
  <c r="M173" i="23" s="1"/>
  <c r="K14" i="22"/>
  <c r="L14" i="22" s="1"/>
  <c r="M14" i="22" s="1"/>
  <c r="O109" i="20"/>
  <c r="P109" i="20" s="1"/>
  <c r="Q109" i="20" s="1"/>
  <c r="O110" i="20"/>
  <c r="P110" i="20" s="1"/>
  <c r="Q110" i="20" s="1"/>
  <c r="O111" i="20"/>
  <c r="P111" i="20" s="1"/>
  <c r="Q111" i="20" s="1"/>
  <c r="O112" i="20"/>
  <c r="P112" i="20" s="1"/>
  <c r="Q112" i="20" s="1"/>
  <c r="O113" i="20"/>
  <c r="P113" i="20" s="1"/>
  <c r="Q113" i="20" s="1"/>
  <c r="O114" i="20"/>
  <c r="P114" i="20" s="1"/>
  <c r="Q114" i="20" s="1"/>
  <c r="O115" i="20"/>
  <c r="P115" i="20" s="1"/>
  <c r="Q115" i="20" s="1"/>
  <c r="O120" i="20"/>
  <c r="P120" i="20" s="1"/>
  <c r="Q120" i="20" s="1"/>
  <c r="O123" i="20"/>
  <c r="P123" i="20" s="1"/>
  <c r="Q123" i="20" s="1"/>
  <c r="O124" i="20"/>
  <c r="P124" i="20" s="1"/>
  <c r="Q124" i="20" s="1"/>
  <c r="O127" i="20"/>
  <c r="P127" i="20" s="1"/>
  <c r="Q127" i="20" s="1"/>
  <c r="O128" i="20"/>
  <c r="P128" i="20" s="1"/>
  <c r="Q128" i="20" s="1"/>
  <c r="O129" i="20"/>
  <c r="P129" i="20" s="1"/>
  <c r="Q129" i="20" s="1"/>
  <c r="O130" i="20"/>
  <c r="P130" i="20" s="1"/>
  <c r="Q130" i="20" s="1"/>
  <c r="O131" i="20"/>
  <c r="P131" i="20" s="1"/>
  <c r="Q131" i="20" s="1"/>
  <c r="O132" i="20"/>
  <c r="P132" i="20" s="1"/>
  <c r="Q132" i="20" s="1"/>
  <c r="O133" i="20"/>
  <c r="P133" i="20" s="1"/>
  <c r="Q133" i="20" s="1"/>
  <c r="O134" i="20"/>
  <c r="P134" i="20" s="1"/>
  <c r="Q134" i="20" s="1"/>
  <c r="O135" i="20"/>
  <c r="P135" i="20" s="1"/>
  <c r="Q135" i="20" s="1"/>
  <c r="O138" i="20"/>
  <c r="P138" i="20" s="1"/>
  <c r="Q138" i="20" s="1"/>
  <c r="O139" i="20"/>
  <c r="P139" i="20" s="1"/>
  <c r="Q139" i="20" s="1"/>
  <c r="O140" i="20"/>
  <c r="P140" i="20" s="1"/>
  <c r="Q140" i="20" s="1"/>
  <c r="O141" i="20"/>
  <c r="P141" i="20" s="1"/>
  <c r="Q141" i="20" s="1"/>
  <c r="O142" i="20"/>
  <c r="P142" i="20" s="1"/>
  <c r="Q142" i="20" s="1"/>
  <c r="O143" i="20"/>
  <c r="P143" i="20" s="1"/>
  <c r="Q143" i="20" s="1"/>
  <c r="O144" i="20"/>
  <c r="P144" i="20" s="1"/>
  <c r="Q144" i="20" s="1"/>
  <c r="O145" i="20"/>
  <c r="P145" i="20" s="1"/>
  <c r="Q145" i="20" s="1"/>
  <c r="O146" i="20"/>
  <c r="P146" i="20" s="1"/>
  <c r="Q146" i="20" s="1"/>
  <c r="O147" i="20"/>
  <c r="P147" i="20" s="1"/>
  <c r="Q147" i="20" s="1"/>
  <c r="O148" i="20"/>
  <c r="P148" i="20" s="1"/>
  <c r="Q148" i="20" s="1"/>
  <c r="O149" i="20"/>
  <c r="P149" i="20" s="1"/>
  <c r="Q149" i="20" s="1"/>
  <c r="O152" i="20"/>
  <c r="P152" i="20" s="1"/>
  <c r="Q152" i="20" s="1"/>
  <c r="O153" i="20"/>
  <c r="P153" i="20" s="1"/>
  <c r="Q153" i="20" s="1"/>
  <c r="O154" i="20"/>
  <c r="P154" i="20" s="1"/>
  <c r="Q154" i="20" s="1"/>
  <c r="O155" i="20"/>
  <c r="P155" i="20" s="1"/>
  <c r="Q155" i="20" s="1"/>
  <c r="O156" i="20"/>
  <c r="P156" i="20" s="1"/>
  <c r="Q156" i="20" s="1"/>
  <c r="O159" i="20"/>
  <c r="P159" i="20" s="1"/>
  <c r="Q159" i="20" s="1"/>
  <c r="O160" i="20"/>
  <c r="P160" i="20" s="1"/>
  <c r="Q160" i="20" s="1"/>
  <c r="O161" i="20"/>
  <c r="P161" i="20" s="1"/>
  <c r="Q161" i="20" s="1"/>
  <c r="O162" i="20"/>
  <c r="P162" i="20" s="1"/>
  <c r="Q162" i="20" s="1"/>
  <c r="O163" i="20"/>
  <c r="P163" i="20" s="1"/>
  <c r="Q163" i="20" s="1"/>
  <c r="O164" i="20"/>
  <c r="P164" i="20" s="1"/>
  <c r="Q164" i="20" s="1"/>
  <c r="O165" i="20"/>
  <c r="P165" i="20" s="1"/>
  <c r="Q165" i="20" s="1"/>
  <c r="O166" i="20"/>
  <c r="P166" i="20" s="1"/>
  <c r="Q166" i="20" s="1"/>
  <c r="O167" i="20"/>
  <c r="P167" i="20" s="1"/>
  <c r="Q167" i="20" s="1"/>
  <c r="O169" i="20"/>
  <c r="P169" i="20" s="1"/>
  <c r="Q169" i="20" s="1"/>
  <c r="O175" i="20"/>
  <c r="O177" i="20"/>
  <c r="P177" i="20" s="1"/>
  <c r="Q177" i="20" s="1"/>
  <c r="O178" i="20"/>
  <c r="P178" i="20" s="1"/>
  <c r="Q178" i="20" s="1"/>
  <c r="O179" i="20"/>
  <c r="P179" i="20" s="1"/>
  <c r="Q179" i="20" s="1"/>
  <c r="O180" i="20"/>
  <c r="P180" i="20" s="1"/>
  <c r="Q180" i="20" s="1"/>
  <c r="O181" i="20"/>
  <c r="P181" i="20" s="1"/>
  <c r="Q181" i="20" s="1"/>
  <c r="O182" i="20"/>
  <c r="P182" i="20" s="1"/>
  <c r="Q182" i="20" s="1"/>
  <c r="O183" i="20"/>
  <c r="P183" i="20" s="1"/>
  <c r="Q183" i="20" s="1"/>
  <c r="O185" i="20"/>
  <c r="P185" i="20" s="1"/>
  <c r="Q185" i="20" s="1"/>
  <c r="O186" i="20"/>
  <c r="P186" i="20" s="1"/>
  <c r="Q186" i="20" s="1"/>
  <c r="O187" i="20"/>
  <c r="P187" i="20" s="1"/>
  <c r="Q187" i="20" s="1"/>
  <c r="O188" i="20"/>
  <c r="P188" i="20" s="1"/>
  <c r="Q188" i="20" s="1"/>
  <c r="O189" i="20"/>
  <c r="P189" i="20" s="1"/>
  <c r="Q189" i="20" s="1"/>
  <c r="O190" i="20"/>
  <c r="P190" i="20" s="1"/>
  <c r="Q190" i="20" s="1"/>
  <c r="O191" i="20"/>
  <c r="P191" i="20" s="1"/>
  <c r="Q191" i="20" s="1"/>
  <c r="O192" i="20"/>
  <c r="P192" i="20" s="1"/>
  <c r="Q192" i="20" s="1"/>
  <c r="O193" i="20"/>
  <c r="P193" i="20" s="1"/>
  <c r="Q193" i="20" s="1"/>
  <c r="O205" i="20"/>
  <c r="P205" i="20" s="1"/>
  <c r="X205" i="20" s="1"/>
  <c r="O206" i="20"/>
  <c r="P206" i="20" s="1"/>
  <c r="X206" i="20" s="1"/>
  <c r="O207" i="20"/>
  <c r="P207" i="20" s="1"/>
  <c r="X207" i="20" s="1"/>
  <c r="O208" i="20"/>
  <c r="P208" i="20" s="1"/>
  <c r="X208" i="20" s="1"/>
  <c r="O209" i="20"/>
  <c r="P209" i="20" s="1"/>
  <c r="X209" i="20" s="1"/>
  <c r="O210" i="20"/>
  <c r="P210" i="20" s="1"/>
  <c r="X210" i="20" s="1"/>
  <c r="O11" i="10"/>
  <c r="O12" i="10"/>
  <c r="O13" i="10"/>
  <c r="O14" i="10"/>
  <c r="O15" i="10"/>
  <c r="O16" i="10"/>
  <c r="O10" i="10"/>
  <c r="O6" i="10"/>
  <c r="P6" i="10" s="1"/>
  <c r="O7" i="10"/>
  <c r="P7" i="10" s="1"/>
  <c r="O8" i="10"/>
  <c r="P8" i="10" s="1"/>
  <c r="N106" i="9"/>
  <c r="O106" i="9" s="1"/>
  <c r="P106" i="9" s="1"/>
  <c r="N107" i="9"/>
  <c r="O107" i="9" s="1"/>
  <c r="P107" i="9" s="1"/>
  <c r="N108" i="9"/>
  <c r="O108" i="9" s="1"/>
  <c r="P108" i="9" s="1"/>
  <c r="N109" i="9"/>
  <c r="O109" i="9" s="1"/>
  <c r="P109" i="9" s="1"/>
  <c r="N110" i="9"/>
  <c r="O110" i="9" s="1"/>
  <c r="P110" i="9" s="1"/>
  <c r="N111" i="9"/>
  <c r="O111" i="9" s="1"/>
  <c r="P111" i="9" s="1"/>
  <c r="N112" i="9"/>
  <c r="O112" i="9" s="1"/>
  <c r="P112" i="9" s="1"/>
  <c r="N113" i="9"/>
  <c r="O113" i="9" s="1"/>
  <c r="P113" i="9" s="1"/>
  <c r="N114" i="9"/>
  <c r="O114" i="9" s="1"/>
  <c r="P114" i="9" s="1"/>
  <c r="N115" i="9"/>
  <c r="O115" i="9" s="1"/>
  <c r="P115" i="9" s="1"/>
  <c r="N117" i="9"/>
  <c r="O117" i="9" s="1"/>
  <c r="P117" i="9" s="1"/>
  <c r="N118" i="9"/>
  <c r="O118" i="9" s="1"/>
  <c r="P118" i="9" s="1"/>
  <c r="N119" i="9"/>
  <c r="O119" i="9" s="1"/>
  <c r="P119" i="9" s="1"/>
  <c r="N120" i="9"/>
  <c r="O120" i="9" s="1"/>
  <c r="P120" i="9" s="1"/>
  <c r="N121" i="9"/>
  <c r="O121" i="9" s="1"/>
  <c r="P121" i="9" s="1"/>
  <c r="N122" i="9"/>
  <c r="O122" i="9" s="1"/>
  <c r="P122" i="9" s="1"/>
  <c r="N123" i="9"/>
  <c r="O123" i="9" s="1"/>
  <c r="P123" i="9" s="1"/>
  <c r="N124" i="9"/>
  <c r="O124" i="9" s="1"/>
  <c r="P124" i="9" s="1"/>
  <c r="N126" i="9"/>
  <c r="O126" i="9" s="1"/>
  <c r="P126" i="9" s="1"/>
  <c r="N127" i="9"/>
  <c r="O127" i="9" s="1"/>
  <c r="P127" i="9" s="1"/>
  <c r="N148" i="9"/>
  <c r="O148" i="9" s="1"/>
  <c r="P148" i="9" s="1"/>
  <c r="N149" i="9"/>
  <c r="O149" i="9" s="1"/>
  <c r="P149" i="9" s="1"/>
  <c r="N150" i="9"/>
  <c r="O150" i="9" s="1"/>
  <c r="P150" i="9" s="1"/>
  <c r="N151" i="9"/>
  <c r="O151" i="9" s="1"/>
  <c r="P151" i="9" s="1"/>
  <c r="N152" i="9"/>
  <c r="O152" i="9" s="1"/>
  <c r="P152" i="9" s="1"/>
  <c r="N153" i="9"/>
  <c r="O153" i="9" s="1"/>
  <c r="P153" i="9" s="1"/>
  <c r="N154" i="9"/>
  <c r="O154" i="9" s="1"/>
  <c r="P154" i="9" s="1"/>
  <c r="N155" i="9"/>
  <c r="O155" i="9" s="1"/>
  <c r="P155" i="9" s="1"/>
  <c r="N156" i="9"/>
  <c r="O156" i="9" s="1"/>
  <c r="P156" i="9" s="1"/>
  <c r="N157" i="9"/>
  <c r="O157" i="9" s="1"/>
  <c r="P157" i="9" s="1"/>
  <c r="N105" i="9"/>
  <c r="O105" i="9" s="1"/>
  <c r="P105" i="9" s="1"/>
  <c r="N142" i="8"/>
  <c r="N143" i="8"/>
  <c r="N144" i="8"/>
  <c r="N145" i="8"/>
  <c r="N146" i="8"/>
  <c r="N147" i="8"/>
  <c r="N148" i="8"/>
  <c r="N149" i="8"/>
  <c r="N150" i="8"/>
  <c r="N151" i="8"/>
  <c r="N152" i="8"/>
  <c r="N153" i="8"/>
  <c r="N154" i="8"/>
  <c r="N155" i="8"/>
  <c r="N156" i="8"/>
  <c r="N157" i="8"/>
  <c r="N158" i="8"/>
  <c r="N159" i="8"/>
  <c r="N179" i="8"/>
  <c r="N180" i="8"/>
  <c r="N181" i="8"/>
  <c r="N183" i="8"/>
  <c r="N184" i="8"/>
  <c r="N185" i="8"/>
  <c r="N186" i="8"/>
  <c r="N188" i="8"/>
  <c r="N189" i="8"/>
  <c r="N190" i="8"/>
  <c r="N191" i="8"/>
  <c r="H174" i="24"/>
  <c r="J174" i="24" s="1"/>
  <c r="G174" i="24"/>
  <c r="I174" i="24" s="1"/>
  <c r="A205" i="20"/>
  <c r="A206" i="20" s="1"/>
  <c r="A207" i="20" s="1"/>
  <c r="A208" i="20" s="1"/>
  <c r="A209" i="20" s="1"/>
  <c r="A210" i="20" s="1"/>
  <c r="R13" i="8" l="1"/>
  <c r="S13" i="8"/>
  <c r="R20" i="8"/>
  <c r="R16" i="8"/>
  <c r="R21" i="8"/>
  <c r="A186" i="34"/>
  <c r="A185" i="34"/>
  <c r="AA7" i="10"/>
  <c r="Z7" i="10"/>
  <c r="Z16" i="10"/>
  <c r="AA16" i="10"/>
  <c r="Z12" i="10"/>
  <c r="AA12" i="10"/>
  <c r="Z13" i="10"/>
  <c r="AA13" i="10"/>
  <c r="Z11" i="10"/>
  <c r="AA11" i="10"/>
  <c r="AA8" i="10"/>
  <c r="Z8" i="10"/>
  <c r="AA6" i="10"/>
  <c r="Z6" i="10"/>
  <c r="Z10" i="10"/>
  <c r="AA10" i="10"/>
  <c r="Z14" i="10"/>
  <c r="AA14" i="10"/>
  <c r="Z15" i="10"/>
  <c r="AA15" i="10"/>
  <c r="N11" i="12"/>
  <c r="K5" i="7"/>
  <c r="L5" i="7" s="1"/>
  <c r="M5" i="7" s="1"/>
  <c r="N5" i="7" s="1"/>
  <c r="K6" i="7"/>
  <c r="L6" i="7" s="1"/>
  <c r="M6" i="7" s="1"/>
  <c r="N6" i="7" s="1"/>
  <c r="K7" i="7"/>
  <c r="L7" i="7" s="1"/>
  <c r="M7" i="7" s="1"/>
  <c r="N7" i="7" s="1"/>
  <c r="K8" i="7"/>
  <c r="L8" i="7" s="1"/>
  <c r="M8" i="7" s="1"/>
  <c r="N8" i="7" s="1"/>
  <c r="K9" i="7"/>
  <c r="L9" i="7" s="1"/>
  <c r="M9" i="7" s="1"/>
  <c r="N9" i="7" s="1"/>
  <c r="K10" i="7"/>
  <c r="L10" i="7" s="1"/>
  <c r="M10" i="7" s="1"/>
  <c r="N10" i="7" s="1"/>
  <c r="K11" i="7"/>
  <c r="L11" i="7" s="1"/>
  <c r="M11" i="7" s="1"/>
  <c r="N11" i="7" s="1"/>
  <c r="K12" i="7"/>
  <c r="L12" i="7" s="1"/>
  <c r="M12" i="7" s="1"/>
  <c r="K13" i="7"/>
  <c r="L13" i="7" s="1"/>
  <c r="M13" i="7" s="1"/>
  <c r="K14" i="7"/>
  <c r="L14" i="7" s="1"/>
  <c r="M14" i="7" s="1"/>
  <c r="N14" i="7" s="1"/>
  <c r="K15" i="7"/>
  <c r="L15" i="7" s="1"/>
  <c r="M15" i="7" s="1"/>
  <c r="N15" i="7" s="1"/>
  <c r="K16" i="7"/>
  <c r="L16" i="7" s="1"/>
  <c r="M16" i="7" s="1"/>
  <c r="N16" i="7" s="1"/>
  <c r="K17" i="7"/>
  <c r="L17" i="7" s="1"/>
  <c r="M17" i="7" s="1"/>
  <c r="K18" i="7"/>
  <c r="L18" i="7" s="1"/>
  <c r="M18" i="7" s="1"/>
  <c r="N18" i="7" s="1"/>
  <c r="K19" i="7"/>
  <c r="L19" i="7" s="1"/>
  <c r="M19" i="7" s="1"/>
  <c r="N19" i="7" s="1"/>
  <c r="K20" i="7"/>
  <c r="L20" i="7" s="1"/>
  <c r="M20" i="7" s="1"/>
  <c r="N20" i="7" s="1"/>
  <c r="K21" i="7"/>
  <c r="L21" i="7" s="1"/>
  <c r="M21" i="7" s="1"/>
  <c r="K22" i="7"/>
  <c r="L22" i="7" s="1"/>
  <c r="M22" i="7" s="1"/>
  <c r="N22" i="7" s="1"/>
  <c r="K23" i="7"/>
  <c r="L23" i="7" s="1"/>
  <c r="K24" i="7"/>
  <c r="L24" i="7" s="1"/>
  <c r="M24" i="7" s="1"/>
  <c r="N24" i="7" s="1"/>
  <c r="K25" i="7"/>
  <c r="K26" i="7"/>
  <c r="L26" i="7" s="1"/>
  <c r="M26" i="7" s="1"/>
  <c r="N26" i="7" s="1"/>
  <c r="K27" i="7"/>
  <c r="L27" i="7" s="1"/>
  <c r="M27" i="7" s="1"/>
  <c r="N27" i="7" s="1"/>
  <c r="K28" i="7"/>
  <c r="L28" i="7" s="1"/>
  <c r="M28" i="7" s="1"/>
  <c r="N28" i="7" s="1"/>
  <c r="K29" i="7"/>
  <c r="L29" i="7" s="1"/>
  <c r="M29" i="7" s="1"/>
  <c r="N29" i="7" s="1"/>
  <c r="K30" i="7"/>
  <c r="K31" i="7"/>
  <c r="L31" i="7" s="1"/>
  <c r="M31" i="7" s="1"/>
  <c r="N31" i="7" s="1"/>
  <c r="K32" i="7"/>
  <c r="L32" i="7" s="1"/>
  <c r="M32" i="7" s="1"/>
  <c r="N32" i="7" s="1"/>
  <c r="K33" i="7"/>
  <c r="L33" i="7" s="1"/>
  <c r="M33" i="7" s="1"/>
  <c r="N33" i="7" s="1"/>
  <c r="K34" i="7"/>
  <c r="L34" i="7" s="1"/>
  <c r="M34" i="7" s="1"/>
  <c r="N34" i="7" s="1"/>
  <c r="K35" i="7"/>
  <c r="L35" i="7" s="1"/>
  <c r="M35" i="7" s="1"/>
  <c r="N35" i="7" s="1"/>
  <c r="K36" i="7"/>
  <c r="L36" i="7" s="1"/>
  <c r="M36" i="7" s="1"/>
  <c r="N36" i="7" s="1"/>
  <c r="K37" i="7"/>
  <c r="L37" i="7" s="1"/>
  <c r="M37" i="7" s="1"/>
  <c r="N37" i="7" s="1"/>
  <c r="K39" i="7"/>
  <c r="L39" i="7" s="1"/>
  <c r="M39" i="7" s="1"/>
  <c r="N39" i="7" s="1"/>
  <c r="K40" i="7"/>
  <c r="K41" i="7"/>
  <c r="L41" i="7" s="1"/>
  <c r="M41" i="7" s="1"/>
  <c r="N41" i="7" s="1"/>
  <c r="K42" i="7"/>
  <c r="L42" i="7" s="1"/>
  <c r="M42" i="7" s="1"/>
  <c r="N42" i="7" s="1"/>
  <c r="K43" i="7"/>
  <c r="L43" i="7" s="1"/>
  <c r="M43" i="7" s="1"/>
  <c r="N43" i="7" s="1"/>
  <c r="K44" i="7"/>
  <c r="L44" i="7" s="1"/>
  <c r="M44" i="7" s="1"/>
  <c r="N44" i="7" s="1"/>
  <c r="K45" i="7"/>
  <c r="K46" i="7"/>
  <c r="K47" i="7"/>
  <c r="L47" i="7" s="1"/>
  <c r="M47" i="7" s="1"/>
  <c r="N47" i="7" s="1"/>
  <c r="K48" i="7"/>
  <c r="L48" i="7" s="1"/>
  <c r="M48" i="7" s="1"/>
  <c r="N48" i="7" s="1"/>
  <c r="K49" i="7"/>
  <c r="L49" i="7" s="1"/>
  <c r="M49" i="7" s="1"/>
  <c r="N49" i="7" s="1"/>
  <c r="K50" i="7"/>
  <c r="L50" i="7" s="1"/>
  <c r="M50" i="7" s="1"/>
  <c r="K51" i="7"/>
  <c r="L51" i="7" s="1"/>
  <c r="M51" i="7" s="1"/>
  <c r="N51" i="7" s="1"/>
  <c r="K52" i="7"/>
  <c r="L52" i="7" s="1"/>
  <c r="M52" i="7" s="1"/>
  <c r="N52" i="7" s="1"/>
  <c r="K53" i="7"/>
  <c r="L53" i="7" s="1"/>
  <c r="M53" i="7" s="1"/>
  <c r="N53" i="7" s="1"/>
  <c r="K54" i="7"/>
  <c r="L54" i="7" s="1"/>
  <c r="M54" i="7" s="1"/>
  <c r="K55" i="7"/>
  <c r="L55" i="7" s="1"/>
  <c r="M55" i="7" s="1"/>
  <c r="N55" i="7" s="1"/>
  <c r="K56" i="7"/>
  <c r="L56" i="7" s="1"/>
  <c r="M56" i="7" s="1"/>
  <c r="N56" i="7" s="1"/>
  <c r="K57" i="7"/>
  <c r="L57" i="7" s="1"/>
  <c r="M57" i="7" s="1"/>
  <c r="N57" i="7" s="1"/>
  <c r="K4" i="7"/>
  <c r="L4" i="7" s="1"/>
  <c r="M4" i="7" s="1"/>
  <c r="N4" i="7" s="1"/>
  <c r="K36" i="6"/>
  <c r="K34" i="6"/>
  <c r="K35" i="6"/>
  <c r="K33" i="6"/>
  <c r="K32" i="6"/>
  <c r="K5" i="6"/>
  <c r="K8" i="6"/>
  <c r="K9" i="6"/>
  <c r="K10" i="6"/>
  <c r="K7" i="6"/>
  <c r="K13" i="6"/>
  <c r="K14" i="6"/>
  <c r="K12" i="6"/>
  <c r="K15" i="6"/>
  <c r="K11" i="6"/>
  <c r="K18" i="6"/>
  <c r="K19" i="6"/>
  <c r="K20" i="6"/>
  <c r="K17" i="6"/>
  <c r="K21" i="6"/>
  <c r="K22" i="6"/>
  <c r="K23" i="6"/>
  <c r="K24" i="6"/>
  <c r="K6" i="6"/>
  <c r="K25" i="6"/>
  <c r="K26" i="6"/>
  <c r="K27" i="6"/>
  <c r="K3" i="6"/>
  <c r="L170" i="8"/>
  <c r="L171" i="8"/>
  <c r="L172" i="8"/>
  <c r="L173" i="8"/>
  <c r="L174" i="8"/>
  <c r="A187" i="34" l="1"/>
  <c r="A188" i="34"/>
  <c r="A189" i="34" s="1"/>
  <c r="A191" i="34" s="1"/>
  <c r="A192" i="34" s="1"/>
  <c r="A193" i="34" s="1"/>
  <c r="A194" i="34" s="1"/>
  <c r="A195" i="34" s="1"/>
  <c r="A196" i="34" s="1"/>
  <c r="O11" i="12"/>
  <c r="P11" i="12" s="1"/>
  <c r="Q11" i="12" s="1"/>
  <c r="M174" i="8"/>
  <c r="M171" i="8"/>
  <c r="M170" i="8"/>
  <c r="M173" i="8"/>
  <c r="N173" i="8" s="1"/>
  <c r="M172" i="8"/>
  <c r="L7" i="9"/>
  <c r="L14" i="9"/>
  <c r="L15" i="9"/>
  <c r="L16" i="9"/>
  <c r="L17" i="9"/>
  <c r="L18" i="9"/>
  <c r="L19" i="9"/>
  <c r="L20" i="9"/>
  <c r="L21" i="9"/>
  <c r="L22" i="9"/>
  <c r="L4" i="9"/>
  <c r="M5" i="10"/>
  <c r="M4" i="10"/>
  <c r="T87" i="9" l="1"/>
  <c r="T77" i="9"/>
  <c r="T84" i="9"/>
  <c r="T83" i="9"/>
  <c r="T80" i="9"/>
  <c r="T75" i="9"/>
  <c r="T90" i="9"/>
  <c r="T81" i="9"/>
  <c r="T78" i="9"/>
  <c r="T76" i="9"/>
  <c r="T82" i="9"/>
  <c r="T91" i="9"/>
  <c r="T89" i="9"/>
  <c r="T88" i="9"/>
  <c r="T74" i="9"/>
  <c r="T86" i="9"/>
  <c r="T85" i="9"/>
  <c r="T79" i="9"/>
  <c r="T73" i="9"/>
  <c r="N172" i="8"/>
  <c r="N170" i="8"/>
  <c r="N171" i="8"/>
  <c r="N174" i="8"/>
  <c r="M4" i="9"/>
  <c r="M22" i="9"/>
  <c r="M14" i="9"/>
  <c r="N14" i="9" s="1"/>
  <c r="O14" i="9" s="1"/>
  <c r="P14" i="9" s="1"/>
  <c r="M18" i="9"/>
  <c r="N18" i="9" s="1"/>
  <c r="O18" i="9" s="1"/>
  <c r="P18" i="9" s="1"/>
  <c r="M21" i="9"/>
  <c r="M7" i="9"/>
  <c r="M17" i="9"/>
  <c r="N17" i="9" s="1"/>
  <c r="O17" i="9" s="1"/>
  <c r="P17" i="9" s="1"/>
  <c r="M16" i="9"/>
  <c r="N16" i="9" s="1"/>
  <c r="O16" i="9" s="1"/>
  <c r="P16" i="9" s="1"/>
  <c r="M15" i="9"/>
  <c r="M20" i="9"/>
  <c r="N20" i="9" s="1"/>
  <c r="O20" i="9" s="1"/>
  <c r="P20" i="9" s="1"/>
  <c r="M19" i="9"/>
  <c r="G4" i="24"/>
  <c r="I4" i="24" s="1"/>
  <c r="J4" i="24"/>
  <c r="G5" i="24"/>
  <c r="I5" i="24" s="1"/>
  <c r="H5" i="24"/>
  <c r="J5" i="24" s="1"/>
  <c r="G6" i="24"/>
  <c r="I6" i="24" s="1"/>
  <c r="H6" i="24"/>
  <c r="J6" i="24" s="1"/>
  <c r="G7" i="24"/>
  <c r="I7" i="24" s="1"/>
  <c r="H7" i="24"/>
  <c r="J7" i="24" s="1"/>
  <c r="G8" i="24"/>
  <c r="I8" i="24" s="1"/>
  <c r="H8" i="24"/>
  <c r="J8" i="24" s="1"/>
  <c r="G9" i="24"/>
  <c r="I9" i="24" s="1"/>
  <c r="H9" i="24"/>
  <c r="J9" i="24" s="1"/>
  <c r="G10" i="24"/>
  <c r="I10" i="24" s="1"/>
  <c r="H10" i="24"/>
  <c r="J10" i="24" s="1"/>
  <c r="G11" i="24"/>
  <c r="I11" i="24" s="1"/>
  <c r="H11" i="24"/>
  <c r="J11" i="24" s="1"/>
  <c r="G12" i="24"/>
  <c r="I12" i="24" s="1"/>
  <c r="H12" i="24"/>
  <c r="J12" i="24" s="1"/>
  <c r="G13" i="24"/>
  <c r="I13" i="24" s="1"/>
  <c r="H13" i="24"/>
  <c r="J13" i="24" s="1"/>
  <c r="G14" i="24"/>
  <c r="I14" i="24" s="1"/>
  <c r="H14" i="24"/>
  <c r="J14" i="24" s="1"/>
  <c r="G15" i="24"/>
  <c r="I15" i="24" s="1"/>
  <c r="H15" i="24"/>
  <c r="J15" i="24" s="1"/>
  <c r="G16" i="24"/>
  <c r="I16" i="24" s="1"/>
  <c r="H16" i="24"/>
  <c r="J16" i="24" s="1"/>
  <c r="G17" i="24"/>
  <c r="I17" i="24" s="1"/>
  <c r="H17" i="24"/>
  <c r="J17" i="24" s="1"/>
  <c r="G18" i="24"/>
  <c r="I18" i="24" s="1"/>
  <c r="H18" i="24"/>
  <c r="J18" i="24" s="1"/>
  <c r="G19" i="24"/>
  <c r="I19" i="24" s="1"/>
  <c r="H19" i="24"/>
  <c r="J19" i="24" s="1"/>
  <c r="G20" i="24"/>
  <c r="I20" i="24" s="1"/>
  <c r="H20" i="24"/>
  <c r="J20" i="24" s="1"/>
  <c r="G21" i="24"/>
  <c r="I21" i="24" s="1"/>
  <c r="H21" i="24"/>
  <c r="J21" i="24" s="1"/>
  <c r="G22" i="24"/>
  <c r="I22" i="24" s="1"/>
  <c r="H22" i="24"/>
  <c r="J22" i="24" s="1"/>
  <c r="G23" i="24"/>
  <c r="I23" i="24" s="1"/>
  <c r="H23" i="24"/>
  <c r="J23" i="24" s="1"/>
  <c r="G24" i="24"/>
  <c r="I24" i="24" s="1"/>
  <c r="H24" i="24"/>
  <c r="J24" i="24" s="1"/>
  <c r="G25" i="24"/>
  <c r="I25" i="24" s="1"/>
  <c r="H25" i="24"/>
  <c r="J25" i="24" s="1"/>
  <c r="G26" i="24"/>
  <c r="I26" i="24" s="1"/>
  <c r="H26" i="24"/>
  <c r="J26" i="24" s="1"/>
  <c r="G27" i="24"/>
  <c r="I27" i="24" s="1"/>
  <c r="H27" i="24"/>
  <c r="J27" i="24" s="1"/>
  <c r="G28" i="24"/>
  <c r="I28" i="24" s="1"/>
  <c r="H28" i="24"/>
  <c r="J28" i="24" s="1"/>
  <c r="G29" i="24"/>
  <c r="I29" i="24" s="1"/>
  <c r="H29" i="24"/>
  <c r="J29" i="24" s="1"/>
  <c r="G30" i="24"/>
  <c r="I30" i="24" s="1"/>
  <c r="H30" i="24"/>
  <c r="J30" i="24" s="1"/>
  <c r="G31" i="24"/>
  <c r="I31" i="24" s="1"/>
  <c r="H31" i="24"/>
  <c r="J31" i="24" s="1"/>
  <c r="G32" i="24"/>
  <c r="I32" i="24" s="1"/>
  <c r="H32" i="24"/>
  <c r="J32" i="24" s="1"/>
  <c r="G33" i="24"/>
  <c r="I33" i="24" s="1"/>
  <c r="H33" i="24"/>
  <c r="J33" i="24" s="1"/>
  <c r="G34" i="24"/>
  <c r="I34" i="24" s="1"/>
  <c r="H34" i="24"/>
  <c r="J34" i="24" s="1"/>
  <c r="G35" i="24"/>
  <c r="I35" i="24" s="1"/>
  <c r="H35" i="24"/>
  <c r="J35" i="24" s="1"/>
  <c r="G36" i="24"/>
  <c r="I36" i="24" s="1"/>
  <c r="H36" i="24"/>
  <c r="J36" i="24" s="1"/>
  <c r="G37" i="24"/>
  <c r="I37" i="24" s="1"/>
  <c r="H37" i="24"/>
  <c r="J37" i="24" s="1"/>
  <c r="G38" i="24"/>
  <c r="I38" i="24" s="1"/>
  <c r="H38" i="24"/>
  <c r="J38" i="24" s="1"/>
  <c r="G39" i="24"/>
  <c r="I39" i="24" s="1"/>
  <c r="H39" i="24"/>
  <c r="J39" i="24" s="1"/>
  <c r="G40" i="24"/>
  <c r="I40" i="24" s="1"/>
  <c r="H40" i="24"/>
  <c r="J40" i="24" s="1"/>
  <c r="G41" i="24"/>
  <c r="I41" i="24" s="1"/>
  <c r="H41" i="24"/>
  <c r="J41" i="24" s="1"/>
  <c r="G42" i="24"/>
  <c r="I42" i="24" s="1"/>
  <c r="H42" i="24"/>
  <c r="J42" i="24" s="1"/>
  <c r="G43" i="24"/>
  <c r="I43" i="24" s="1"/>
  <c r="H43" i="24"/>
  <c r="J43" i="24" s="1"/>
  <c r="G44" i="24"/>
  <c r="I44" i="24" s="1"/>
  <c r="H44" i="24"/>
  <c r="J44" i="24" s="1"/>
  <c r="G45" i="24"/>
  <c r="I45" i="24" s="1"/>
  <c r="H45" i="24"/>
  <c r="J45" i="24" s="1"/>
  <c r="G46" i="24"/>
  <c r="I46" i="24" s="1"/>
  <c r="H46" i="24"/>
  <c r="J46" i="24" s="1"/>
  <c r="G47" i="24"/>
  <c r="I47" i="24" s="1"/>
  <c r="H47" i="24"/>
  <c r="J47" i="24" s="1"/>
  <c r="G48" i="24"/>
  <c r="I48" i="24" s="1"/>
  <c r="H48" i="24"/>
  <c r="J48" i="24" s="1"/>
  <c r="G49" i="24"/>
  <c r="I49" i="24" s="1"/>
  <c r="H49" i="24"/>
  <c r="J49" i="24" s="1"/>
  <c r="G50" i="24"/>
  <c r="I50" i="24" s="1"/>
  <c r="H50" i="24"/>
  <c r="J50" i="24" s="1"/>
  <c r="G51" i="24"/>
  <c r="I51" i="24" s="1"/>
  <c r="H51" i="24"/>
  <c r="J51" i="24" s="1"/>
  <c r="G52" i="24"/>
  <c r="I52" i="24" s="1"/>
  <c r="H52" i="24"/>
  <c r="J52" i="24" s="1"/>
  <c r="G53" i="24"/>
  <c r="I53" i="24" s="1"/>
  <c r="H53" i="24"/>
  <c r="J53" i="24" s="1"/>
  <c r="G54" i="24"/>
  <c r="I54" i="24" s="1"/>
  <c r="H54" i="24"/>
  <c r="J54" i="24" s="1"/>
  <c r="G55" i="24"/>
  <c r="I55" i="24" s="1"/>
  <c r="H55" i="24"/>
  <c r="J55" i="24" s="1"/>
  <c r="G56" i="24"/>
  <c r="I56" i="24" s="1"/>
  <c r="H56" i="24"/>
  <c r="J56" i="24" s="1"/>
  <c r="G57" i="24"/>
  <c r="I57" i="24" s="1"/>
  <c r="H57" i="24"/>
  <c r="J57" i="24" s="1"/>
  <c r="G58" i="24"/>
  <c r="I58" i="24" s="1"/>
  <c r="H58" i="24"/>
  <c r="J58" i="24" s="1"/>
  <c r="G59" i="24"/>
  <c r="I59" i="24" s="1"/>
  <c r="H59" i="24"/>
  <c r="J59" i="24" s="1"/>
  <c r="G60" i="24"/>
  <c r="I60" i="24" s="1"/>
  <c r="H60" i="24"/>
  <c r="J60" i="24" s="1"/>
  <c r="G61" i="24"/>
  <c r="I61" i="24" s="1"/>
  <c r="H61" i="24"/>
  <c r="J61" i="24" s="1"/>
  <c r="G62" i="24"/>
  <c r="I62" i="24" s="1"/>
  <c r="H62" i="24"/>
  <c r="J62" i="24" s="1"/>
  <c r="G63" i="24"/>
  <c r="I63" i="24" s="1"/>
  <c r="H63" i="24"/>
  <c r="J63" i="24" s="1"/>
  <c r="G64" i="24"/>
  <c r="I64" i="24" s="1"/>
  <c r="H64" i="24"/>
  <c r="J64" i="24" s="1"/>
  <c r="G65" i="24"/>
  <c r="I65" i="24" s="1"/>
  <c r="H65" i="24"/>
  <c r="J65" i="24" s="1"/>
  <c r="G66" i="24"/>
  <c r="I66" i="24" s="1"/>
  <c r="H66" i="24"/>
  <c r="J66" i="24" s="1"/>
  <c r="G67" i="24"/>
  <c r="I67" i="24" s="1"/>
  <c r="H67" i="24"/>
  <c r="J67" i="24" s="1"/>
  <c r="G68" i="24"/>
  <c r="I68" i="24" s="1"/>
  <c r="H68" i="24"/>
  <c r="J68" i="24" s="1"/>
  <c r="G69" i="24"/>
  <c r="I69" i="24" s="1"/>
  <c r="H69" i="24"/>
  <c r="J69" i="24" s="1"/>
  <c r="G70" i="24"/>
  <c r="I70" i="24" s="1"/>
  <c r="H70" i="24"/>
  <c r="J70" i="24" s="1"/>
  <c r="G71" i="24"/>
  <c r="I71" i="24" s="1"/>
  <c r="H71" i="24"/>
  <c r="J71" i="24" s="1"/>
  <c r="G72" i="24"/>
  <c r="I72" i="24" s="1"/>
  <c r="H72" i="24"/>
  <c r="J72" i="24" s="1"/>
  <c r="G73" i="24"/>
  <c r="I73" i="24" s="1"/>
  <c r="H73" i="24"/>
  <c r="J73" i="24" s="1"/>
  <c r="G74" i="24"/>
  <c r="I74" i="24" s="1"/>
  <c r="H74" i="24"/>
  <c r="J74" i="24" s="1"/>
  <c r="G75" i="24"/>
  <c r="I75" i="24" s="1"/>
  <c r="H75" i="24"/>
  <c r="J75" i="24" s="1"/>
  <c r="G76" i="24"/>
  <c r="I76" i="24" s="1"/>
  <c r="H76" i="24"/>
  <c r="J76" i="24" s="1"/>
  <c r="G77" i="24"/>
  <c r="I77" i="24" s="1"/>
  <c r="H77" i="24"/>
  <c r="J77" i="24" s="1"/>
  <c r="G78" i="24"/>
  <c r="I78" i="24" s="1"/>
  <c r="H78" i="24"/>
  <c r="J78" i="24" s="1"/>
  <c r="G79" i="24"/>
  <c r="I79" i="24" s="1"/>
  <c r="H79" i="24"/>
  <c r="J79" i="24" s="1"/>
  <c r="G80" i="24"/>
  <c r="I80" i="24" s="1"/>
  <c r="H80" i="24"/>
  <c r="J80" i="24" s="1"/>
  <c r="G81" i="24"/>
  <c r="I81" i="24" s="1"/>
  <c r="H81" i="24"/>
  <c r="J81" i="24" s="1"/>
  <c r="G82" i="24"/>
  <c r="I82" i="24" s="1"/>
  <c r="H82" i="24"/>
  <c r="J82" i="24" s="1"/>
  <c r="G83" i="24"/>
  <c r="I83" i="24" s="1"/>
  <c r="H83" i="24"/>
  <c r="J83" i="24" s="1"/>
  <c r="G84" i="24"/>
  <c r="I84" i="24" s="1"/>
  <c r="H84" i="24"/>
  <c r="J84" i="24" s="1"/>
  <c r="G85" i="24"/>
  <c r="I85" i="24" s="1"/>
  <c r="H85" i="24"/>
  <c r="J85" i="24" s="1"/>
  <c r="G86" i="24"/>
  <c r="I86" i="24" s="1"/>
  <c r="H86" i="24"/>
  <c r="J86" i="24" s="1"/>
  <c r="G87" i="24"/>
  <c r="I87" i="24" s="1"/>
  <c r="H87" i="24"/>
  <c r="J87" i="24" s="1"/>
  <c r="G88" i="24"/>
  <c r="I88" i="24" s="1"/>
  <c r="H88" i="24"/>
  <c r="J88" i="24" s="1"/>
  <c r="G89" i="24"/>
  <c r="I89" i="24" s="1"/>
  <c r="H89" i="24"/>
  <c r="J89" i="24" s="1"/>
  <c r="G90" i="24"/>
  <c r="I90" i="24" s="1"/>
  <c r="H90" i="24"/>
  <c r="J90" i="24" s="1"/>
  <c r="G91" i="24"/>
  <c r="I91" i="24" s="1"/>
  <c r="H91" i="24"/>
  <c r="J91" i="24" s="1"/>
  <c r="G92" i="24"/>
  <c r="I92" i="24" s="1"/>
  <c r="H92" i="24"/>
  <c r="J92" i="24" s="1"/>
  <c r="G93" i="24"/>
  <c r="I93" i="24" s="1"/>
  <c r="H93" i="24"/>
  <c r="J93" i="24" s="1"/>
  <c r="G94" i="24"/>
  <c r="I94" i="24" s="1"/>
  <c r="H94" i="24"/>
  <c r="J94" i="24" s="1"/>
  <c r="G95" i="24"/>
  <c r="I95" i="24" s="1"/>
  <c r="H95" i="24"/>
  <c r="J95" i="24" s="1"/>
  <c r="G96" i="24"/>
  <c r="I96" i="24" s="1"/>
  <c r="H96" i="24"/>
  <c r="J96" i="24" s="1"/>
  <c r="G97" i="24"/>
  <c r="I97" i="24" s="1"/>
  <c r="H97" i="24"/>
  <c r="J97" i="24" s="1"/>
  <c r="G98" i="24"/>
  <c r="I98" i="24" s="1"/>
  <c r="H98" i="24"/>
  <c r="J98" i="24" s="1"/>
  <c r="G99" i="24"/>
  <c r="I99" i="24" s="1"/>
  <c r="H99" i="24"/>
  <c r="J99" i="24" s="1"/>
  <c r="G100" i="24"/>
  <c r="I100" i="24" s="1"/>
  <c r="H100" i="24"/>
  <c r="J100" i="24" s="1"/>
  <c r="G101" i="24"/>
  <c r="I101" i="24" s="1"/>
  <c r="H101" i="24"/>
  <c r="J101" i="24" s="1"/>
  <c r="G102" i="24"/>
  <c r="I102" i="24" s="1"/>
  <c r="H102" i="24"/>
  <c r="J102" i="24" s="1"/>
  <c r="G103" i="24"/>
  <c r="I103" i="24" s="1"/>
  <c r="H103" i="24"/>
  <c r="J103" i="24" s="1"/>
  <c r="G104" i="24"/>
  <c r="I104" i="24" s="1"/>
  <c r="H104" i="24"/>
  <c r="J104" i="24" s="1"/>
  <c r="G105" i="24"/>
  <c r="I105" i="24" s="1"/>
  <c r="H105" i="24"/>
  <c r="J105" i="24" s="1"/>
  <c r="G106" i="24"/>
  <c r="I106" i="24" s="1"/>
  <c r="H106" i="24"/>
  <c r="J106" i="24" s="1"/>
  <c r="G107" i="24"/>
  <c r="I107" i="24" s="1"/>
  <c r="H107" i="24"/>
  <c r="J107" i="24" s="1"/>
  <c r="G108" i="24"/>
  <c r="I108" i="24" s="1"/>
  <c r="H108" i="24"/>
  <c r="J108" i="24" s="1"/>
  <c r="G109" i="24"/>
  <c r="I109" i="24" s="1"/>
  <c r="H109" i="24"/>
  <c r="J109" i="24" s="1"/>
  <c r="G110" i="24"/>
  <c r="I110" i="24" s="1"/>
  <c r="H110" i="24"/>
  <c r="J110" i="24" s="1"/>
  <c r="G111" i="24"/>
  <c r="I111" i="24" s="1"/>
  <c r="H111" i="24"/>
  <c r="J111" i="24" s="1"/>
  <c r="G112" i="24"/>
  <c r="I112" i="24" s="1"/>
  <c r="H112" i="24"/>
  <c r="J112" i="24" s="1"/>
  <c r="G113" i="24"/>
  <c r="I113" i="24" s="1"/>
  <c r="H113" i="24"/>
  <c r="J113" i="24" s="1"/>
  <c r="G114" i="24"/>
  <c r="I114" i="24" s="1"/>
  <c r="H114" i="24"/>
  <c r="J114" i="24" s="1"/>
  <c r="G115" i="24"/>
  <c r="I115" i="24" s="1"/>
  <c r="H115" i="24"/>
  <c r="J115" i="24" s="1"/>
  <c r="G116" i="24"/>
  <c r="I116" i="24" s="1"/>
  <c r="H116" i="24"/>
  <c r="J116" i="24" s="1"/>
  <c r="G117" i="24"/>
  <c r="I117" i="24" s="1"/>
  <c r="H117" i="24"/>
  <c r="J117" i="24" s="1"/>
  <c r="G118" i="24"/>
  <c r="I118" i="24" s="1"/>
  <c r="H118" i="24"/>
  <c r="J118" i="24" s="1"/>
  <c r="G119" i="24"/>
  <c r="I119" i="24" s="1"/>
  <c r="H119" i="24"/>
  <c r="J119" i="24" s="1"/>
  <c r="G120" i="24"/>
  <c r="I120" i="24" s="1"/>
  <c r="H120" i="24"/>
  <c r="J120" i="24" s="1"/>
  <c r="G121" i="24"/>
  <c r="I121" i="24" s="1"/>
  <c r="H121" i="24"/>
  <c r="J121" i="24" s="1"/>
  <c r="G122" i="24"/>
  <c r="I122" i="24" s="1"/>
  <c r="H122" i="24"/>
  <c r="J122" i="24" s="1"/>
  <c r="G123" i="24"/>
  <c r="I123" i="24" s="1"/>
  <c r="H123" i="24"/>
  <c r="J123" i="24" s="1"/>
  <c r="G124" i="24"/>
  <c r="I124" i="24" s="1"/>
  <c r="H124" i="24"/>
  <c r="J124" i="24" s="1"/>
  <c r="G125" i="24"/>
  <c r="I125" i="24" s="1"/>
  <c r="H125" i="24"/>
  <c r="J125" i="24" s="1"/>
  <c r="G126" i="24"/>
  <c r="I126" i="24" s="1"/>
  <c r="H126" i="24"/>
  <c r="J126" i="24" s="1"/>
  <c r="G127" i="24"/>
  <c r="I127" i="24" s="1"/>
  <c r="H127" i="24"/>
  <c r="J127" i="24" s="1"/>
  <c r="G128" i="24"/>
  <c r="I128" i="24" s="1"/>
  <c r="H128" i="24"/>
  <c r="J128" i="24" s="1"/>
  <c r="G129" i="24"/>
  <c r="I129" i="24" s="1"/>
  <c r="H129" i="24"/>
  <c r="J129" i="24" s="1"/>
  <c r="G130" i="24"/>
  <c r="I130" i="24" s="1"/>
  <c r="H130" i="24"/>
  <c r="J130" i="24" s="1"/>
  <c r="G131" i="24"/>
  <c r="I131" i="24" s="1"/>
  <c r="H131" i="24"/>
  <c r="J131" i="24" s="1"/>
  <c r="G132" i="24"/>
  <c r="I132" i="24" s="1"/>
  <c r="H132" i="24"/>
  <c r="J132" i="24" s="1"/>
  <c r="G133" i="24"/>
  <c r="I133" i="24" s="1"/>
  <c r="H133" i="24"/>
  <c r="J133" i="24" s="1"/>
  <c r="G134" i="24"/>
  <c r="I134" i="24" s="1"/>
  <c r="H134" i="24"/>
  <c r="J134" i="24" s="1"/>
  <c r="G135" i="24"/>
  <c r="I135" i="24" s="1"/>
  <c r="H135" i="24"/>
  <c r="J135" i="24" s="1"/>
  <c r="G136" i="24"/>
  <c r="I136" i="24" s="1"/>
  <c r="H136" i="24"/>
  <c r="J136" i="24" s="1"/>
  <c r="G137" i="24"/>
  <c r="I137" i="24" s="1"/>
  <c r="H137" i="24"/>
  <c r="J137" i="24" s="1"/>
  <c r="G138" i="24"/>
  <c r="I138" i="24" s="1"/>
  <c r="H138" i="24"/>
  <c r="J138" i="24" s="1"/>
  <c r="G139" i="24"/>
  <c r="I139" i="24" s="1"/>
  <c r="H139" i="24"/>
  <c r="J139" i="24" s="1"/>
  <c r="G140" i="24"/>
  <c r="I140" i="24" s="1"/>
  <c r="H140" i="24"/>
  <c r="J140" i="24" s="1"/>
  <c r="G141" i="24"/>
  <c r="I141" i="24" s="1"/>
  <c r="H141" i="24"/>
  <c r="J141" i="24" s="1"/>
  <c r="G142" i="24"/>
  <c r="I142" i="24" s="1"/>
  <c r="H142" i="24"/>
  <c r="J142" i="24" s="1"/>
  <c r="G143" i="24"/>
  <c r="I143" i="24" s="1"/>
  <c r="H143" i="24"/>
  <c r="J143" i="24" s="1"/>
  <c r="G144" i="24"/>
  <c r="I144" i="24" s="1"/>
  <c r="H144" i="24"/>
  <c r="J144" i="24" s="1"/>
  <c r="G145" i="24"/>
  <c r="I145" i="24" s="1"/>
  <c r="H145" i="24"/>
  <c r="J145" i="24" s="1"/>
  <c r="G146" i="24"/>
  <c r="I146" i="24" s="1"/>
  <c r="H146" i="24"/>
  <c r="J146" i="24" s="1"/>
  <c r="G147" i="24"/>
  <c r="I147" i="24" s="1"/>
  <c r="H147" i="24"/>
  <c r="J147" i="24" s="1"/>
  <c r="G148" i="24"/>
  <c r="I148" i="24" s="1"/>
  <c r="H148" i="24"/>
  <c r="J148" i="24" s="1"/>
  <c r="G149" i="24"/>
  <c r="I149" i="24" s="1"/>
  <c r="H149" i="24"/>
  <c r="J149" i="24" s="1"/>
  <c r="G150" i="24"/>
  <c r="I150" i="24" s="1"/>
  <c r="H150" i="24"/>
  <c r="J150" i="24" s="1"/>
  <c r="G151" i="24"/>
  <c r="I151" i="24" s="1"/>
  <c r="H151" i="24"/>
  <c r="J151" i="24" s="1"/>
  <c r="G152" i="24"/>
  <c r="I152" i="24" s="1"/>
  <c r="H152" i="24"/>
  <c r="J152" i="24" s="1"/>
  <c r="G153" i="24"/>
  <c r="I153" i="24" s="1"/>
  <c r="H153" i="24"/>
  <c r="J153" i="24" s="1"/>
  <c r="G154" i="24"/>
  <c r="I154" i="24" s="1"/>
  <c r="H154" i="24"/>
  <c r="J154" i="24" s="1"/>
  <c r="G155" i="24"/>
  <c r="I155" i="24" s="1"/>
  <c r="H155" i="24"/>
  <c r="J155" i="24" s="1"/>
  <c r="G156" i="24"/>
  <c r="I156" i="24" s="1"/>
  <c r="H156" i="24"/>
  <c r="J156" i="24" s="1"/>
  <c r="G157" i="24"/>
  <c r="I157" i="24" s="1"/>
  <c r="H157" i="24"/>
  <c r="J157" i="24" s="1"/>
  <c r="G158" i="24"/>
  <c r="I158" i="24" s="1"/>
  <c r="H158" i="24"/>
  <c r="J158" i="24" s="1"/>
  <c r="G159" i="24"/>
  <c r="I159" i="24" s="1"/>
  <c r="H159" i="24"/>
  <c r="J159" i="24" s="1"/>
  <c r="G160" i="24"/>
  <c r="I160" i="24" s="1"/>
  <c r="H160" i="24"/>
  <c r="J160" i="24" s="1"/>
  <c r="G161" i="24"/>
  <c r="I161" i="24" s="1"/>
  <c r="H161" i="24"/>
  <c r="J161" i="24" s="1"/>
  <c r="G162" i="24"/>
  <c r="I162" i="24" s="1"/>
  <c r="H162" i="24"/>
  <c r="J162" i="24" s="1"/>
  <c r="G163" i="24"/>
  <c r="I163" i="24" s="1"/>
  <c r="H163" i="24"/>
  <c r="J163" i="24" s="1"/>
  <c r="G164" i="24"/>
  <c r="I164" i="24" s="1"/>
  <c r="H164" i="24"/>
  <c r="J164" i="24" s="1"/>
  <c r="G165" i="24"/>
  <c r="I165" i="24" s="1"/>
  <c r="H165" i="24"/>
  <c r="J165" i="24" s="1"/>
  <c r="G166" i="24"/>
  <c r="I166" i="24" s="1"/>
  <c r="H166" i="24"/>
  <c r="J166" i="24" s="1"/>
  <c r="G167" i="24"/>
  <c r="I167" i="24" s="1"/>
  <c r="H167" i="24"/>
  <c r="J167" i="24" s="1"/>
  <c r="G168" i="24"/>
  <c r="I168" i="24" s="1"/>
  <c r="H168" i="24"/>
  <c r="J168" i="24" s="1"/>
  <c r="G169" i="24"/>
  <c r="I169" i="24" s="1"/>
  <c r="H169" i="24"/>
  <c r="J169" i="24" s="1"/>
  <c r="G170" i="24"/>
  <c r="I170" i="24" s="1"/>
  <c r="H170" i="24"/>
  <c r="J170" i="24" s="1"/>
  <c r="G171" i="24"/>
  <c r="I171" i="24" s="1"/>
  <c r="H171" i="24"/>
  <c r="J171" i="24" s="1"/>
  <c r="G172" i="24"/>
  <c r="I172" i="24" s="1"/>
  <c r="H172" i="24"/>
  <c r="J172" i="24" s="1"/>
  <c r="G173" i="24"/>
  <c r="I173" i="24" s="1"/>
  <c r="H173" i="24"/>
  <c r="J173" i="24" s="1"/>
  <c r="N22" i="9" l="1"/>
  <c r="O22" i="9" s="1"/>
  <c r="P22" i="9" s="1"/>
  <c r="N4" i="9"/>
  <c r="O4" i="9" s="1"/>
  <c r="N19" i="9"/>
  <c r="O19" i="9" s="1"/>
  <c r="P19" i="9" s="1"/>
  <c r="N7" i="9"/>
  <c r="N21" i="9"/>
  <c r="O21" i="9" s="1"/>
  <c r="P21" i="9" s="1"/>
  <c r="N15" i="9"/>
  <c r="O15" i="9" s="1"/>
  <c r="P15" i="9" s="1"/>
  <c r="F64" i="34"/>
  <c r="F65" i="34"/>
  <c r="F67" i="34"/>
  <c r="F68" i="34"/>
  <c r="F69" i="34"/>
  <c r="F70" i="34"/>
  <c r="F71" i="34"/>
  <c r="F72" i="34"/>
  <c r="F79" i="34"/>
  <c r="F80" i="34"/>
  <c r="F81" i="34"/>
  <c r="F86" i="34"/>
  <c r="F87" i="34"/>
  <c r="F88" i="34"/>
  <c r="F90" i="34"/>
  <c r="F91" i="34"/>
  <c r="F92" i="34"/>
  <c r="F97" i="34"/>
  <c r="F98" i="34"/>
  <c r="F99" i="34"/>
  <c r="F104" i="34"/>
  <c r="F105" i="34"/>
  <c r="F106" i="34"/>
  <c r="F121" i="34"/>
  <c r="F122" i="34"/>
  <c r="F123" i="34"/>
  <c r="F128" i="34"/>
  <c r="F129" i="34"/>
  <c r="F130" i="34"/>
  <c r="F137" i="34"/>
  <c r="F138" i="34"/>
  <c r="F139" i="34"/>
  <c r="F140" i="34"/>
  <c r="F154" i="34"/>
  <c r="F155" i="34"/>
  <c r="F156" i="34"/>
  <c r="F157" i="34"/>
  <c r="F158" i="34"/>
  <c r="F159" i="34"/>
  <c r="F166" i="34"/>
  <c r="F167" i="34"/>
  <c r="F176" i="34"/>
  <c r="F34" i="34"/>
  <c r="F35" i="34"/>
  <c r="F36" i="34"/>
  <c r="F37" i="34"/>
  <c r="F41" i="34"/>
  <c r="F42" i="34"/>
  <c r="F43" i="34"/>
  <c r="F50" i="34"/>
  <c r="F51" i="34"/>
  <c r="F52" i="34"/>
  <c r="F56" i="34"/>
  <c r="F57" i="34"/>
  <c r="F58" i="34"/>
  <c r="F59" i="34"/>
  <c r="F60" i="34"/>
  <c r="F61" i="34"/>
  <c r="F63" i="34"/>
  <c r="F27" i="34"/>
  <c r="F28" i="34"/>
  <c r="F29" i="34"/>
  <c r="F30" i="34"/>
  <c r="F31" i="34"/>
  <c r="F32" i="34"/>
  <c r="F33" i="34"/>
  <c r="F26" i="34"/>
  <c r="F15" i="34"/>
  <c r="F13" i="34"/>
  <c r="F14" i="34"/>
  <c r="F11" i="34"/>
  <c r="F12" i="34"/>
  <c r="F10" i="34"/>
  <c r="F5" i="34"/>
  <c r="F6" i="34"/>
  <c r="F7" i="34"/>
  <c r="F4" i="34"/>
  <c r="E128" i="34"/>
  <c r="E11" i="34"/>
  <c r="E12" i="34"/>
  <c r="E13" i="34"/>
  <c r="E14" i="34"/>
  <c r="E15" i="34"/>
  <c r="E26" i="34"/>
  <c r="E27" i="34"/>
  <c r="E28" i="34"/>
  <c r="E29" i="34"/>
  <c r="E30" i="34"/>
  <c r="E31" i="34"/>
  <c r="E32" i="34"/>
  <c r="E33" i="34"/>
  <c r="E34" i="34"/>
  <c r="E35" i="34"/>
  <c r="E36" i="34"/>
  <c r="E37" i="34"/>
  <c r="E41" i="34"/>
  <c r="E42" i="34"/>
  <c r="E43" i="34"/>
  <c r="E50" i="34"/>
  <c r="E51" i="34"/>
  <c r="E52" i="34"/>
  <c r="E56" i="34"/>
  <c r="E57" i="34"/>
  <c r="E58" i="34"/>
  <c r="E59" i="34"/>
  <c r="E60" i="34"/>
  <c r="E61" i="34"/>
  <c r="E63" i="34"/>
  <c r="E64" i="34"/>
  <c r="E65" i="34"/>
  <c r="E67" i="34"/>
  <c r="E68" i="34"/>
  <c r="E69" i="34"/>
  <c r="E70" i="34"/>
  <c r="E71" i="34"/>
  <c r="E72" i="34"/>
  <c r="E79" i="34"/>
  <c r="E80" i="34"/>
  <c r="E81" i="34"/>
  <c r="E86" i="34"/>
  <c r="E87" i="34"/>
  <c r="E88" i="34"/>
  <c r="E90" i="34"/>
  <c r="E91" i="34"/>
  <c r="E92" i="34"/>
  <c r="E97" i="34"/>
  <c r="E98" i="34"/>
  <c r="E99" i="34"/>
  <c r="E104" i="34"/>
  <c r="E105" i="34"/>
  <c r="E106" i="34"/>
  <c r="E121" i="34"/>
  <c r="E122" i="34"/>
  <c r="E123" i="34"/>
  <c r="E129" i="34"/>
  <c r="E130" i="34"/>
  <c r="E137" i="34"/>
  <c r="E138" i="34"/>
  <c r="E139" i="34"/>
  <c r="E140" i="34"/>
  <c r="E154" i="34"/>
  <c r="E155" i="34"/>
  <c r="E156" i="34"/>
  <c r="E157" i="34"/>
  <c r="E158" i="34"/>
  <c r="E159" i="34"/>
  <c r="E166" i="34"/>
  <c r="E167" i="34"/>
  <c r="E176" i="34"/>
  <c r="E5" i="34"/>
  <c r="E6" i="34"/>
  <c r="E7" i="34"/>
  <c r="E10" i="34"/>
  <c r="E4" i="34"/>
  <c r="M96" i="20"/>
  <c r="N96" i="20" s="1"/>
  <c r="O96" i="20" s="1"/>
  <c r="P96" i="20" s="1"/>
  <c r="V96" i="20" s="1"/>
  <c r="M97" i="20"/>
  <c r="N97" i="20" s="1"/>
  <c r="O97" i="20" s="1"/>
  <c r="P97" i="20" s="1"/>
  <c r="V97" i="20" s="1"/>
  <c r="M98" i="20"/>
  <c r="N98" i="20" s="1"/>
  <c r="O98" i="20" s="1"/>
  <c r="P98" i="20" s="1"/>
  <c r="V98" i="20" s="1"/>
  <c r="H17" i="14"/>
  <c r="AE17" i="14" s="1"/>
  <c r="H16" i="14"/>
  <c r="AE16" i="14" s="1"/>
  <c r="H15" i="14"/>
  <c r="AE15" i="14" s="1"/>
  <c r="H14" i="14"/>
  <c r="AE14" i="14" s="1"/>
  <c r="H13" i="14"/>
  <c r="AE13" i="14" s="1"/>
  <c r="H12" i="14"/>
  <c r="AE12" i="14" s="1"/>
  <c r="H11" i="14"/>
  <c r="AE11" i="14" s="1"/>
  <c r="H10" i="14"/>
  <c r="AE10" i="14" s="1"/>
  <c r="H9" i="14"/>
  <c r="AE9" i="14" s="1"/>
  <c r="H8" i="14"/>
  <c r="AE8" i="14" s="1"/>
  <c r="H7" i="14"/>
  <c r="AE7" i="14" s="1"/>
  <c r="H6" i="14"/>
  <c r="H5" i="14"/>
  <c r="H4" i="14"/>
  <c r="G17" i="14"/>
  <c r="AA17" i="14" s="1"/>
  <c r="G16" i="14"/>
  <c r="AA16" i="14" s="1"/>
  <c r="G15" i="14"/>
  <c r="AA15" i="14" s="1"/>
  <c r="G14" i="14"/>
  <c r="AA14" i="14" s="1"/>
  <c r="G13" i="14"/>
  <c r="AA13" i="14" s="1"/>
  <c r="G12" i="14"/>
  <c r="AA12" i="14" s="1"/>
  <c r="G11" i="14"/>
  <c r="AA11" i="14" s="1"/>
  <c r="G10" i="14"/>
  <c r="AA10" i="14" s="1"/>
  <c r="G9" i="14"/>
  <c r="AA9" i="14" s="1"/>
  <c r="G8" i="14"/>
  <c r="AA8" i="14" s="1"/>
  <c r="G7" i="14"/>
  <c r="AA7" i="14" s="1"/>
  <c r="F17" i="14"/>
  <c r="W17" i="14" s="1"/>
  <c r="F16" i="14"/>
  <c r="W16" i="14" s="1"/>
  <c r="F15" i="14"/>
  <c r="W15" i="14" s="1"/>
  <c r="F14" i="14"/>
  <c r="W14" i="14" s="1"/>
  <c r="F13" i="14"/>
  <c r="W13" i="14" s="1"/>
  <c r="F12" i="14"/>
  <c r="W12" i="14" s="1"/>
  <c r="F11" i="14"/>
  <c r="W11" i="14" s="1"/>
  <c r="F10" i="14"/>
  <c r="W10" i="14" s="1"/>
  <c r="F9" i="14"/>
  <c r="W9" i="14" s="1"/>
  <c r="E17" i="14"/>
  <c r="S17" i="14" s="1"/>
  <c r="E16" i="14"/>
  <c r="S16" i="14" s="1"/>
  <c r="E15" i="14"/>
  <c r="S15" i="14" s="1"/>
  <c r="E12" i="14"/>
  <c r="S12" i="14" s="1"/>
  <c r="E11" i="14"/>
  <c r="S11" i="14" s="1"/>
  <c r="H24" i="13"/>
  <c r="H23" i="13"/>
  <c r="H22" i="13"/>
  <c r="H21" i="13"/>
  <c r="H20" i="13"/>
  <c r="H19" i="13"/>
  <c r="H18" i="13"/>
  <c r="H17" i="13"/>
  <c r="H16" i="13"/>
  <c r="H15" i="13"/>
  <c r="H14" i="13"/>
  <c r="H13" i="13"/>
  <c r="H12" i="13"/>
  <c r="H11" i="13"/>
  <c r="H10" i="13"/>
  <c r="H9" i="13"/>
  <c r="H8" i="13"/>
  <c r="H7" i="13"/>
  <c r="H6" i="13"/>
  <c r="H5" i="13"/>
  <c r="H4" i="13"/>
  <c r="G24" i="13"/>
  <c r="G23" i="13"/>
  <c r="G22" i="13"/>
  <c r="O5" i="9" l="1"/>
  <c r="G21" i="13"/>
  <c r="G20" i="13"/>
  <c r="G19" i="13"/>
  <c r="G18" i="13"/>
  <c r="G17" i="13"/>
  <c r="G16" i="13"/>
  <c r="G15" i="13"/>
  <c r="G14" i="13"/>
  <c r="G13" i="13"/>
  <c r="G12" i="13"/>
  <c r="G11" i="13"/>
  <c r="G10" i="13"/>
  <c r="G9" i="13"/>
  <c r="G8" i="13"/>
  <c r="G7" i="13"/>
  <c r="F24" i="13"/>
  <c r="F23" i="13"/>
  <c r="F22" i="13"/>
  <c r="F21" i="13"/>
  <c r="F20" i="13"/>
  <c r="F19" i="13"/>
  <c r="F18" i="13"/>
  <c r="F17" i="13"/>
  <c r="F16" i="13"/>
  <c r="F15" i="13"/>
  <c r="F14" i="13"/>
  <c r="F13" i="13"/>
  <c r="F12" i="13"/>
  <c r="F11" i="13"/>
  <c r="F10" i="13"/>
  <c r="F9" i="13"/>
  <c r="F8" i="13"/>
  <c r="E24" i="13"/>
  <c r="E23" i="13"/>
  <c r="E22" i="13"/>
  <c r="E21" i="13"/>
  <c r="E20" i="13"/>
  <c r="E19" i="13"/>
  <c r="E18" i="13"/>
  <c r="E17" i="13"/>
  <c r="E16" i="13"/>
  <c r="E15" i="13"/>
  <c r="E14" i="13"/>
  <c r="E13" i="13"/>
  <c r="E12" i="13"/>
  <c r="E11" i="13"/>
  <c r="E10" i="13"/>
  <c r="M25" i="10"/>
  <c r="M26" i="10"/>
  <c r="M27" i="10"/>
  <c r="M28" i="10"/>
  <c r="M29" i="10"/>
  <c r="M30" i="10"/>
  <c r="M31" i="10"/>
  <c r="M32" i="10"/>
  <c r="M33" i="10"/>
  <c r="M34" i="10"/>
  <c r="M35" i="10"/>
  <c r="M36" i="10"/>
  <c r="M37" i="10"/>
  <c r="M38" i="10"/>
  <c r="M39" i="10"/>
  <c r="M40" i="10"/>
  <c r="M41" i="10"/>
  <c r="M42" i="10"/>
  <c r="M43" i="10"/>
  <c r="M49" i="10"/>
  <c r="M50" i="10"/>
  <c r="M51" i="10"/>
  <c r="M52" i="10"/>
  <c r="M53" i="10"/>
  <c r="M54" i="10"/>
  <c r="M55" i="10"/>
  <c r="M56" i="10"/>
  <c r="M57" i="10"/>
  <c r="M58" i="10"/>
  <c r="M59" i="10"/>
  <c r="L135" i="8"/>
  <c r="L136" i="8"/>
  <c r="L139" i="8"/>
  <c r="L140" i="8"/>
  <c r="L162" i="8"/>
  <c r="L163" i="8"/>
  <c r="L164" i="8"/>
  <c r="L165" i="8"/>
  <c r="I177" i="8"/>
  <c r="I176" i="8"/>
  <c r="I173" i="8"/>
  <c r="I163" i="8"/>
  <c r="I162" i="8"/>
  <c r="I149" i="8"/>
  <c r="I139" i="8"/>
  <c r="I136" i="8"/>
  <c r="I133" i="8"/>
  <c r="I123" i="8"/>
  <c r="I122" i="8"/>
  <c r="I120" i="8"/>
  <c r="I110" i="8"/>
  <c r="I108" i="8"/>
  <c r="I106" i="8"/>
  <c r="I94" i="8"/>
  <c r="I93" i="8"/>
  <c r="I89" i="8"/>
  <c r="I78" i="8"/>
  <c r="I77" i="8"/>
  <c r="I75" i="8"/>
  <c r="I65" i="8"/>
  <c r="I64" i="8"/>
  <c r="I61" i="8"/>
  <c r="I50" i="8"/>
  <c r="I49" i="8"/>
  <c r="I40" i="8"/>
  <c r="I31" i="8"/>
  <c r="I29" i="8"/>
  <c r="I28" i="8"/>
  <c r="I27" i="8"/>
  <c r="I8" i="8"/>
  <c r="I7" i="8"/>
  <c r="I6" i="8"/>
  <c r="I5" i="8"/>
  <c r="I4" i="8"/>
  <c r="I9" i="8"/>
  <c r="I18" i="8"/>
  <c r="I19" i="8"/>
  <c r="I20" i="8"/>
  <c r="I21" i="8"/>
  <c r="I13" i="8"/>
  <c r="I25" i="8"/>
  <c r="I26" i="8"/>
  <c r="I32" i="8"/>
  <c r="I35" i="8"/>
  <c r="I36" i="8"/>
  <c r="I37" i="8"/>
  <c r="I38" i="8"/>
  <c r="I39" i="8"/>
  <c r="I41" i="8"/>
  <c r="I51" i="8"/>
  <c r="I52" i="8"/>
  <c r="I54" i="8"/>
  <c r="I57" i="8"/>
  <c r="I58" i="8"/>
  <c r="I59" i="8"/>
  <c r="I60" i="8"/>
  <c r="I63" i="8"/>
  <c r="I67" i="8"/>
  <c r="I68" i="8"/>
  <c r="I69" i="8"/>
  <c r="I70" i="8"/>
  <c r="I71" i="8"/>
  <c r="I72" i="8"/>
  <c r="I73" i="8"/>
  <c r="I74" i="8"/>
  <c r="I76" i="8"/>
  <c r="I79" i="8"/>
  <c r="I80" i="8"/>
  <c r="I81" i="8"/>
  <c r="I82" i="8"/>
  <c r="I84" i="8"/>
  <c r="I85" i="8"/>
  <c r="I86" i="8"/>
  <c r="I88" i="8"/>
  <c r="I91" i="8"/>
  <c r="I95" i="8"/>
  <c r="I96" i="8"/>
  <c r="I97" i="8"/>
  <c r="I98" i="8"/>
  <c r="I99" i="8"/>
  <c r="I103" i="8"/>
  <c r="I104" i="8"/>
  <c r="I105" i="8"/>
  <c r="I107" i="8"/>
  <c r="I111" i="8"/>
  <c r="I112" i="8"/>
  <c r="I113" i="8"/>
  <c r="I114" i="8"/>
  <c r="I116" i="8"/>
  <c r="I117" i="8"/>
  <c r="I118" i="8"/>
  <c r="I119" i="8"/>
  <c r="I121" i="8"/>
  <c r="I124" i="8"/>
  <c r="I125" i="8"/>
  <c r="I126" i="8"/>
  <c r="I127" i="8"/>
  <c r="I129" i="8"/>
  <c r="I130" i="8"/>
  <c r="I131" i="8"/>
  <c r="I132" i="8"/>
  <c r="I135" i="8"/>
  <c r="I140" i="8"/>
  <c r="I142" i="8"/>
  <c r="I143" i="8"/>
  <c r="I144" i="8"/>
  <c r="I145" i="8"/>
  <c r="I146" i="8"/>
  <c r="I147" i="8"/>
  <c r="I148" i="8"/>
  <c r="I150" i="8"/>
  <c r="I164" i="8"/>
  <c r="I165" i="8"/>
  <c r="I167" i="8"/>
  <c r="I168" i="8"/>
  <c r="I169" i="8"/>
  <c r="I170" i="8"/>
  <c r="I171" i="8"/>
  <c r="I172" i="8"/>
  <c r="I174" i="8"/>
  <c r="I50" i="10"/>
  <c r="J50" i="10" s="1"/>
  <c r="K50" i="10" s="1"/>
  <c r="I51" i="10"/>
  <c r="J51" i="10" s="1"/>
  <c r="K51" i="10" s="1"/>
  <c r="I52" i="10"/>
  <c r="J52" i="10" s="1"/>
  <c r="K52" i="10" s="1"/>
  <c r="I53" i="10"/>
  <c r="J53" i="10" s="1"/>
  <c r="K53" i="10" s="1"/>
  <c r="I54" i="10"/>
  <c r="J54" i="10" s="1"/>
  <c r="K54" i="10" s="1"/>
  <c r="I55" i="10"/>
  <c r="J55" i="10" s="1"/>
  <c r="K55" i="10" s="1"/>
  <c r="I56" i="10"/>
  <c r="J56" i="10" s="1"/>
  <c r="K56" i="10" s="1"/>
  <c r="I57" i="10"/>
  <c r="J57" i="10" s="1"/>
  <c r="K57" i="10" s="1"/>
  <c r="I58" i="10"/>
  <c r="J58" i="10" s="1"/>
  <c r="K58" i="10" s="1"/>
  <c r="I59" i="10"/>
  <c r="J59" i="10" s="1"/>
  <c r="K59" i="10" s="1"/>
  <c r="I49" i="10"/>
  <c r="J49" i="10" s="1"/>
  <c r="K49" i="10" s="1"/>
  <c r="K117" i="8"/>
  <c r="L117" i="8" s="1"/>
  <c r="K118" i="8"/>
  <c r="L118" i="8" s="1"/>
  <c r="K119" i="8"/>
  <c r="L119" i="8" s="1"/>
  <c r="K120" i="8"/>
  <c r="L120" i="8" s="1"/>
  <c r="K121" i="8"/>
  <c r="L121" i="8" s="1"/>
  <c r="K122" i="8"/>
  <c r="L122" i="8" s="1"/>
  <c r="K123" i="8"/>
  <c r="L123" i="8" s="1"/>
  <c r="K124" i="8"/>
  <c r="L124" i="8" s="1"/>
  <c r="K125" i="8"/>
  <c r="L125" i="8" s="1"/>
  <c r="K126" i="8"/>
  <c r="L126" i="8" s="1"/>
  <c r="K127" i="8"/>
  <c r="L127" i="8" s="1"/>
  <c r="K116" i="8"/>
  <c r="L116" i="8" s="1"/>
  <c r="I8" i="6"/>
  <c r="I9" i="6"/>
  <c r="I10" i="6"/>
  <c r="I7" i="6"/>
  <c r="I13" i="6"/>
  <c r="I14" i="6"/>
  <c r="I12" i="6"/>
  <c r="I15" i="6"/>
  <c r="I11" i="6"/>
  <c r="I18" i="6"/>
  <c r="I19" i="6"/>
  <c r="I20" i="6"/>
  <c r="I17" i="6"/>
  <c r="I21" i="6"/>
  <c r="I22" i="6"/>
  <c r="I23" i="6"/>
  <c r="I24" i="6"/>
  <c r="I6" i="6"/>
  <c r="I25" i="6"/>
  <c r="I26" i="6"/>
  <c r="I27" i="6"/>
  <c r="I32" i="6"/>
  <c r="I33" i="6"/>
  <c r="I34" i="6"/>
  <c r="I35" i="6"/>
  <c r="I36" i="6"/>
  <c r="K5" i="8"/>
  <c r="L5" i="8" s="1"/>
  <c r="K6" i="8"/>
  <c r="L6" i="8" s="1"/>
  <c r="K7" i="8"/>
  <c r="L7" i="8" s="1"/>
  <c r="K8" i="8"/>
  <c r="L8" i="8" s="1"/>
  <c r="K9" i="8"/>
  <c r="L9" i="8" s="1"/>
  <c r="K15" i="8"/>
  <c r="L15" i="8" s="1"/>
  <c r="K4" i="8"/>
  <c r="L4" i="8" s="1"/>
  <c r="I5" i="6"/>
  <c r="I3" i="6"/>
  <c r="H3" i="6"/>
  <c r="H5" i="6"/>
  <c r="O6" i="9" l="1"/>
  <c r="M6" i="8"/>
  <c r="N6" i="8" s="1"/>
  <c r="M8" i="8"/>
  <c r="N8" i="8" s="1"/>
  <c r="P8" i="8" s="1"/>
  <c r="M127" i="8"/>
  <c r="M119" i="8"/>
  <c r="N119" i="8" s="1"/>
  <c r="M139" i="8"/>
  <c r="N54" i="10"/>
  <c r="N41" i="10"/>
  <c r="O41" i="10" s="1"/>
  <c r="P41" i="10" s="1"/>
  <c r="N33" i="10"/>
  <c r="O33" i="10" s="1"/>
  <c r="P33" i="10" s="1"/>
  <c r="N25" i="10"/>
  <c r="M7" i="8"/>
  <c r="M126" i="8"/>
  <c r="N126" i="8" s="1"/>
  <c r="M118" i="8"/>
  <c r="M136" i="8"/>
  <c r="N136" i="8" s="1"/>
  <c r="N53" i="10"/>
  <c r="N40" i="10"/>
  <c r="O40" i="10" s="1"/>
  <c r="P40" i="10" s="1"/>
  <c r="N32" i="10"/>
  <c r="M117" i="8"/>
  <c r="N117" i="8" s="1"/>
  <c r="M125" i="8"/>
  <c r="N52" i="10"/>
  <c r="N59" i="10"/>
  <c r="M123" i="8"/>
  <c r="N123" i="8" s="1"/>
  <c r="M164" i="8"/>
  <c r="N58" i="10"/>
  <c r="N50" i="10"/>
  <c r="N37" i="10"/>
  <c r="O37" i="10" s="1"/>
  <c r="P37" i="10" s="1"/>
  <c r="N29" i="10"/>
  <c r="M5" i="8"/>
  <c r="N5" i="8" s="1"/>
  <c r="P5" i="8" s="1"/>
  <c r="N51" i="10"/>
  <c r="M122" i="8"/>
  <c r="N122" i="8" s="1"/>
  <c r="M163" i="8"/>
  <c r="N57" i="10"/>
  <c r="N49" i="10"/>
  <c r="N36" i="10"/>
  <c r="O36" i="10" s="1"/>
  <c r="P36" i="10" s="1"/>
  <c r="N28" i="10"/>
  <c r="M135" i="8"/>
  <c r="N39" i="10"/>
  <c r="O39" i="10" s="1"/>
  <c r="P39" i="10" s="1"/>
  <c r="M165" i="8"/>
  <c r="N38" i="10"/>
  <c r="M121" i="8"/>
  <c r="M162" i="8"/>
  <c r="N162" i="8" s="1"/>
  <c r="N56" i="10"/>
  <c r="N43" i="10"/>
  <c r="N35" i="10"/>
  <c r="N27" i="10"/>
  <c r="N31" i="10"/>
  <c r="O31" i="10" s="1"/>
  <c r="P31" i="10" s="1"/>
  <c r="M124" i="8"/>
  <c r="N30" i="10"/>
  <c r="O30" i="10" s="1"/>
  <c r="P30" i="10" s="1"/>
  <c r="M4" i="8"/>
  <c r="N4" i="8" s="1"/>
  <c r="P4" i="8" s="1"/>
  <c r="M9" i="8"/>
  <c r="N9" i="8" s="1"/>
  <c r="P9" i="8" s="1"/>
  <c r="M116" i="8"/>
  <c r="M120" i="8"/>
  <c r="M140" i="8"/>
  <c r="N55" i="10"/>
  <c r="N42" i="10"/>
  <c r="N34" i="10"/>
  <c r="N26" i="10"/>
  <c r="J96" i="9"/>
  <c r="K96" i="9" s="1"/>
  <c r="L96" i="9" s="1"/>
  <c r="J98" i="9"/>
  <c r="K98" i="9" s="1"/>
  <c r="L98" i="9" s="1"/>
  <c r="J99" i="9"/>
  <c r="K99" i="9" s="1"/>
  <c r="L99" i="9" s="1"/>
  <c r="J130" i="9"/>
  <c r="K130" i="9" s="1"/>
  <c r="L130" i="9" s="1"/>
  <c r="J131" i="9"/>
  <c r="K131" i="9" s="1"/>
  <c r="L131" i="9" s="1"/>
  <c r="J132" i="9"/>
  <c r="K132" i="9" s="1"/>
  <c r="L132" i="9" s="1"/>
  <c r="J134" i="9"/>
  <c r="K134" i="9" s="1"/>
  <c r="L134" i="9" s="1"/>
  <c r="J135" i="9"/>
  <c r="K135" i="9" s="1"/>
  <c r="L135" i="9" s="1"/>
  <c r="J136" i="9"/>
  <c r="K136" i="9" s="1"/>
  <c r="L136" i="9" s="1"/>
  <c r="J137" i="9"/>
  <c r="K137" i="9" s="1"/>
  <c r="L137" i="9" s="1"/>
  <c r="J138" i="9"/>
  <c r="K138" i="9" s="1"/>
  <c r="L138" i="9" s="1"/>
  <c r="J139" i="9"/>
  <c r="K139" i="9" s="1"/>
  <c r="L139" i="9" s="1"/>
  <c r="J140" i="9"/>
  <c r="K140" i="9" s="1"/>
  <c r="L140" i="9" s="1"/>
  <c r="J142" i="9"/>
  <c r="K142" i="9" s="1"/>
  <c r="L142" i="9" s="1"/>
  <c r="J143" i="9"/>
  <c r="K143" i="9" s="1"/>
  <c r="L143" i="9" s="1"/>
  <c r="J144" i="9"/>
  <c r="K144" i="9" s="1"/>
  <c r="L144" i="9" s="1"/>
  <c r="J145" i="9"/>
  <c r="K145" i="9" s="1"/>
  <c r="L145" i="9" s="1"/>
  <c r="J146" i="9"/>
  <c r="K146" i="9" s="1"/>
  <c r="L146" i="9" s="1"/>
  <c r="J94" i="9"/>
  <c r="K94" i="9" s="1"/>
  <c r="L94" i="9" s="1"/>
  <c r="O32" i="10" l="1"/>
  <c r="P32" i="10" s="1"/>
  <c r="N7" i="8"/>
  <c r="P7" i="8" s="1"/>
  <c r="O28" i="10"/>
  <c r="P28" i="10" s="1"/>
  <c r="O26" i="10"/>
  <c r="P26" i="10" s="1"/>
  <c r="O27" i="10"/>
  <c r="P27" i="10" s="1"/>
  <c r="O38" i="10"/>
  <c r="P38" i="10" s="1"/>
  <c r="O29" i="10"/>
  <c r="P29" i="10" s="1"/>
  <c r="O34" i="10"/>
  <c r="P34" i="10" s="1"/>
  <c r="O35" i="10"/>
  <c r="P35" i="10" s="1"/>
  <c r="O25" i="10"/>
  <c r="P25" i="10" s="1"/>
  <c r="O42" i="10"/>
  <c r="P42" i="10" s="1"/>
  <c r="O43" i="10"/>
  <c r="P43" i="10" s="1"/>
  <c r="P6" i="8"/>
  <c r="N124" i="8"/>
  <c r="N139" i="8"/>
  <c r="N127" i="8"/>
  <c r="N120" i="8"/>
  <c r="N116" i="8"/>
  <c r="N121" i="8"/>
  <c r="N163" i="8"/>
  <c r="N135" i="8"/>
  <c r="N125" i="8"/>
  <c r="N164" i="8"/>
  <c r="N165" i="8"/>
  <c r="N140" i="8"/>
  <c r="N118" i="8"/>
  <c r="M143" i="9"/>
  <c r="M142" i="9"/>
  <c r="N142" i="9" s="1"/>
  <c r="O142" i="9" s="1"/>
  <c r="P142" i="9" s="1"/>
  <c r="M132" i="9"/>
  <c r="N132" i="9" s="1"/>
  <c r="O132" i="9" s="1"/>
  <c r="P132" i="9" s="1"/>
  <c r="M140" i="9"/>
  <c r="N140" i="9" s="1"/>
  <c r="O140" i="9" s="1"/>
  <c r="P140" i="9" s="1"/>
  <c r="M131" i="9"/>
  <c r="M139" i="9"/>
  <c r="M130" i="9"/>
  <c r="N130" i="9" s="1"/>
  <c r="O130" i="9" s="1"/>
  <c r="P130" i="9" s="1"/>
  <c r="M138" i="9"/>
  <c r="M137" i="9"/>
  <c r="M134" i="9"/>
  <c r="M94" i="9"/>
  <c r="N94" i="9" s="1"/>
  <c r="O94" i="9" s="1"/>
  <c r="M146" i="9"/>
  <c r="M98" i="9"/>
  <c r="M136" i="9"/>
  <c r="N136" i="9" s="1"/>
  <c r="O136" i="9" s="1"/>
  <c r="P136" i="9" s="1"/>
  <c r="M99" i="9"/>
  <c r="M145" i="9"/>
  <c r="N145" i="9" s="1"/>
  <c r="O145" i="9" s="1"/>
  <c r="P145" i="9" s="1"/>
  <c r="M96" i="9"/>
  <c r="M144" i="9"/>
  <c r="M135" i="9"/>
  <c r="G91" i="23"/>
  <c r="H91" i="23" s="1"/>
  <c r="I91" i="23" s="1"/>
  <c r="G92" i="23"/>
  <c r="H92" i="23" s="1"/>
  <c r="I92" i="23" s="1"/>
  <c r="J92" i="23" s="1"/>
  <c r="K92" i="23" s="1"/>
  <c r="L92" i="23" s="1"/>
  <c r="M92" i="23" s="1"/>
  <c r="G57" i="23"/>
  <c r="H57" i="23" s="1"/>
  <c r="I57" i="23" s="1"/>
  <c r="J57" i="23" s="1"/>
  <c r="K57" i="23" s="1"/>
  <c r="L57" i="23" s="1"/>
  <c r="M57" i="23" s="1"/>
  <c r="G59" i="23"/>
  <c r="H59" i="23" s="1"/>
  <c r="I59" i="23" s="1"/>
  <c r="J59" i="23" s="1"/>
  <c r="K59" i="23" s="1"/>
  <c r="L59" i="23" s="1"/>
  <c r="M59" i="23" s="1"/>
  <c r="G60" i="23"/>
  <c r="H60" i="23" s="1"/>
  <c r="I60" i="23" s="1"/>
  <c r="J60" i="23" s="1"/>
  <c r="K60" i="23" s="1"/>
  <c r="L60" i="23" s="1"/>
  <c r="M60" i="23" s="1"/>
  <c r="G63" i="23"/>
  <c r="H63" i="23" s="1"/>
  <c r="I63" i="23" s="1"/>
  <c r="J63" i="23" s="1"/>
  <c r="K63" i="23" s="1"/>
  <c r="L63" i="23" s="1"/>
  <c r="M63" i="23" s="1"/>
  <c r="G64" i="23"/>
  <c r="H64" i="23" s="1"/>
  <c r="I64" i="23" s="1"/>
  <c r="J64" i="23" s="1"/>
  <c r="K64" i="23" s="1"/>
  <c r="L64" i="23" s="1"/>
  <c r="M64" i="23" s="1"/>
  <c r="G65" i="23"/>
  <c r="H65" i="23" s="1"/>
  <c r="I65" i="23" s="1"/>
  <c r="J65" i="23" s="1"/>
  <c r="K65" i="23" s="1"/>
  <c r="L65" i="23" s="1"/>
  <c r="M65" i="23" s="1"/>
  <c r="G66" i="23"/>
  <c r="H66" i="23" s="1"/>
  <c r="I66" i="23" s="1"/>
  <c r="J66" i="23" s="1"/>
  <c r="K66" i="23" s="1"/>
  <c r="L66" i="23" s="1"/>
  <c r="M66" i="23" s="1"/>
  <c r="G67" i="23"/>
  <c r="H67" i="23" s="1"/>
  <c r="I67" i="23" s="1"/>
  <c r="J67" i="23" s="1"/>
  <c r="K67" i="23" s="1"/>
  <c r="L67" i="23" s="1"/>
  <c r="M67" i="23" s="1"/>
  <c r="G68" i="23"/>
  <c r="H68" i="23" s="1"/>
  <c r="I68" i="23" s="1"/>
  <c r="J68" i="23" s="1"/>
  <c r="K68" i="23" s="1"/>
  <c r="L68" i="23" s="1"/>
  <c r="M68" i="23" s="1"/>
  <c r="G69" i="23"/>
  <c r="H69" i="23" s="1"/>
  <c r="I69" i="23" s="1"/>
  <c r="J69" i="23" s="1"/>
  <c r="K69" i="23" s="1"/>
  <c r="L69" i="23" s="1"/>
  <c r="M69" i="23" s="1"/>
  <c r="G70" i="23"/>
  <c r="H70" i="23" s="1"/>
  <c r="I70" i="23" s="1"/>
  <c r="J70" i="23" s="1"/>
  <c r="K70" i="23" s="1"/>
  <c r="L70" i="23" s="1"/>
  <c r="M70" i="23" s="1"/>
  <c r="G56" i="23"/>
  <c r="H56" i="23" s="1"/>
  <c r="I56" i="23" s="1"/>
  <c r="G40" i="23"/>
  <c r="H40" i="23" s="1"/>
  <c r="I40" i="23" s="1"/>
  <c r="J40" i="23" s="1"/>
  <c r="K40" i="23" s="1"/>
  <c r="L40" i="23" s="1"/>
  <c r="M40" i="23" s="1"/>
  <c r="G42" i="23"/>
  <c r="H42" i="23" s="1"/>
  <c r="I42" i="23" s="1"/>
  <c r="J42" i="23" s="1"/>
  <c r="K42" i="23" s="1"/>
  <c r="L42" i="23" s="1"/>
  <c r="M42" i="23" s="1"/>
  <c r="G44" i="23"/>
  <c r="H44" i="23" s="1"/>
  <c r="I44" i="23" s="1"/>
  <c r="J44" i="23" s="1"/>
  <c r="K44" i="23" s="1"/>
  <c r="L44" i="23" s="1"/>
  <c r="M44" i="23" s="1"/>
  <c r="G49" i="23"/>
  <c r="H49" i="23" s="1"/>
  <c r="G35" i="23"/>
  <c r="H35" i="23" s="1"/>
  <c r="I35" i="23" s="1"/>
  <c r="J35" i="23" s="1"/>
  <c r="K35" i="23" s="1"/>
  <c r="L35" i="23" s="1"/>
  <c r="M35" i="23" s="1"/>
  <c r="G36" i="23"/>
  <c r="H36" i="23" s="1"/>
  <c r="I36" i="23" s="1"/>
  <c r="J36" i="23" s="1"/>
  <c r="K36" i="23" s="1"/>
  <c r="L36" i="23" s="1"/>
  <c r="M36" i="23" s="1"/>
  <c r="G38" i="23"/>
  <c r="H38" i="23" s="1"/>
  <c r="I38" i="23" s="1"/>
  <c r="J38" i="23" s="1"/>
  <c r="K38" i="23" s="1"/>
  <c r="L38" i="23" s="1"/>
  <c r="M38" i="23" s="1"/>
  <c r="G39" i="23"/>
  <c r="H39" i="23" s="1"/>
  <c r="I39" i="23" s="1"/>
  <c r="J39" i="23" s="1"/>
  <c r="K39" i="23" s="1"/>
  <c r="L39" i="23" s="1"/>
  <c r="M39" i="23" s="1"/>
  <c r="G21" i="23"/>
  <c r="H21" i="23" s="1"/>
  <c r="I21" i="23" s="1"/>
  <c r="J21" i="23" s="1"/>
  <c r="K21" i="23" s="1"/>
  <c r="L21" i="23" s="1"/>
  <c r="M21" i="23" s="1"/>
  <c r="G22" i="23"/>
  <c r="H22" i="23" s="1"/>
  <c r="I22" i="23" s="1"/>
  <c r="J22" i="23" s="1"/>
  <c r="K22" i="23" s="1"/>
  <c r="L22" i="23" s="1"/>
  <c r="M22" i="23" s="1"/>
  <c r="G23" i="23"/>
  <c r="H23" i="23" s="1"/>
  <c r="I23" i="23" s="1"/>
  <c r="J23" i="23" s="1"/>
  <c r="K23" i="23" s="1"/>
  <c r="L23" i="23" s="1"/>
  <c r="M23" i="23" s="1"/>
  <c r="G24" i="23"/>
  <c r="H24" i="23" s="1"/>
  <c r="I24" i="23" s="1"/>
  <c r="J24" i="23" s="1"/>
  <c r="K24" i="23" s="1"/>
  <c r="L24" i="23" s="1"/>
  <c r="M24" i="23" s="1"/>
  <c r="G25" i="23"/>
  <c r="H25" i="23" s="1"/>
  <c r="I25" i="23" s="1"/>
  <c r="J25" i="23" s="1"/>
  <c r="K25" i="23" s="1"/>
  <c r="L25" i="23" s="1"/>
  <c r="M25" i="23" s="1"/>
  <c r="G27" i="23"/>
  <c r="H27" i="23" s="1"/>
  <c r="I27" i="23" s="1"/>
  <c r="J27" i="23" s="1"/>
  <c r="K27" i="23" s="1"/>
  <c r="L27" i="23" s="1"/>
  <c r="M27" i="23" s="1"/>
  <c r="G28" i="23"/>
  <c r="H28" i="23" s="1"/>
  <c r="I28" i="23" s="1"/>
  <c r="J28" i="23" s="1"/>
  <c r="K28" i="23" s="1"/>
  <c r="L28" i="23" s="1"/>
  <c r="M28" i="23" s="1"/>
  <c r="G29" i="23"/>
  <c r="H29" i="23" s="1"/>
  <c r="I29" i="23" s="1"/>
  <c r="J29" i="23" s="1"/>
  <c r="K29" i="23" s="1"/>
  <c r="L29" i="23" s="1"/>
  <c r="M29" i="23" s="1"/>
  <c r="G30" i="23"/>
  <c r="H30" i="23" s="1"/>
  <c r="I30" i="23" s="1"/>
  <c r="J30" i="23" s="1"/>
  <c r="K30" i="23" s="1"/>
  <c r="L30" i="23" s="1"/>
  <c r="M30" i="23" s="1"/>
  <c r="G11" i="23"/>
  <c r="H11" i="23" s="1"/>
  <c r="I11" i="23" s="1"/>
  <c r="J11" i="23" s="1"/>
  <c r="K11" i="23" s="1"/>
  <c r="L11" i="23" s="1"/>
  <c r="M11" i="23" s="1"/>
  <c r="G12" i="23"/>
  <c r="H12" i="23" s="1"/>
  <c r="I12" i="23" s="1"/>
  <c r="J12" i="23" s="1"/>
  <c r="G14" i="23"/>
  <c r="H14" i="23" s="1"/>
  <c r="I14" i="23" s="1"/>
  <c r="J14" i="23" s="1"/>
  <c r="K14" i="23" s="1"/>
  <c r="L14" i="23" s="1"/>
  <c r="M14" i="23" s="1"/>
  <c r="G15" i="23"/>
  <c r="H15" i="23" s="1"/>
  <c r="I15" i="23" s="1"/>
  <c r="J15" i="23" s="1"/>
  <c r="K15" i="23" s="1"/>
  <c r="L15" i="23" s="1"/>
  <c r="M15" i="23" s="1"/>
  <c r="G16" i="23"/>
  <c r="H16" i="23" s="1"/>
  <c r="I16" i="23" s="1"/>
  <c r="J16" i="23" s="1"/>
  <c r="K16" i="23" s="1"/>
  <c r="L16" i="23" s="1"/>
  <c r="M16" i="23" s="1"/>
  <c r="G17" i="23"/>
  <c r="H17" i="23" s="1"/>
  <c r="I17" i="23" s="1"/>
  <c r="J17" i="23" s="1"/>
  <c r="K17" i="23" s="1"/>
  <c r="L17" i="23" s="1"/>
  <c r="M17" i="23" s="1"/>
  <c r="G18" i="23"/>
  <c r="H18" i="23" s="1"/>
  <c r="I18" i="23" s="1"/>
  <c r="J18" i="23" s="1"/>
  <c r="K18" i="23" s="1"/>
  <c r="L18" i="23" s="1"/>
  <c r="M18" i="23" s="1"/>
  <c r="G19" i="23"/>
  <c r="H19" i="23" s="1"/>
  <c r="I19" i="23" s="1"/>
  <c r="J19" i="23" s="1"/>
  <c r="K19" i="23" s="1"/>
  <c r="L19" i="23" s="1"/>
  <c r="M19" i="23" s="1"/>
  <c r="G7" i="23"/>
  <c r="H7" i="23" s="1"/>
  <c r="I7" i="23" s="1"/>
  <c r="J7" i="23" s="1"/>
  <c r="K7" i="23" s="1"/>
  <c r="L7" i="23" s="1"/>
  <c r="M7" i="23" s="1"/>
  <c r="G8" i="23"/>
  <c r="H8" i="23" s="1"/>
  <c r="I8" i="23" s="1"/>
  <c r="J8" i="23" s="1"/>
  <c r="K8" i="23" s="1"/>
  <c r="L8" i="23" s="1"/>
  <c r="M8" i="23" s="1"/>
  <c r="G9" i="23"/>
  <c r="H9" i="23" s="1"/>
  <c r="I9" i="23" s="1"/>
  <c r="J9" i="23" s="1"/>
  <c r="K9" i="23" s="1"/>
  <c r="L9" i="23" s="1"/>
  <c r="M9" i="23" s="1"/>
  <c r="G10" i="23"/>
  <c r="H10" i="23" s="1"/>
  <c r="I10" i="23" s="1"/>
  <c r="J10" i="23" s="1"/>
  <c r="K10" i="23" s="1"/>
  <c r="L10" i="23" s="1"/>
  <c r="M10" i="23" s="1"/>
  <c r="G6" i="23"/>
  <c r="H6" i="23" s="1"/>
  <c r="I6" i="23" s="1"/>
  <c r="J6" i="23" s="1"/>
  <c r="K6" i="23" s="1"/>
  <c r="L6" i="23" s="1"/>
  <c r="K5" i="10"/>
  <c r="K4" i="10"/>
  <c r="J34" i="9"/>
  <c r="K34" i="9" s="1"/>
  <c r="L34" i="9" s="1"/>
  <c r="J35" i="9"/>
  <c r="K35" i="9" s="1"/>
  <c r="L35" i="9" s="1"/>
  <c r="J36" i="9"/>
  <c r="K36" i="9" s="1"/>
  <c r="L36" i="9" s="1"/>
  <c r="J37" i="9"/>
  <c r="K37" i="9" s="1"/>
  <c r="L37" i="9" s="1"/>
  <c r="J38" i="9"/>
  <c r="K38" i="9" s="1"/>
  <c r="L38" i="9" s="1"/>
  <c r="J39" i="9"/>
  <c r="K39" i="9" s="1"/>
  <c r="L39" i="9" s="1"/>
  <c r="J40" i="9"/>
  <c r="K40" i="9" s="1"/>
  <c r="L40" i="9" s="1"/>
  <c r="J41" i="9"/>
  <c r="K41" i="9" s="1"/>
  <c r="L41" i="9" s="1"/>
  <c r="J42" i="9"/>
  <c r="K42" i="9" s="1"/>
  <c r="L42" i="9" s="1"/>
  <c r="J43" i="9"/>
  <c r="K43" i="9" s="1"/>
  <c r="L43" i="9" s="1"/>
  <c r="J44" i="9"/>
  <c r="K44" i="9" s="1"/>
  <c r="L44" i="9" s="1"/>
  <c r="J45" i="9"/>
  <c r="K45" i="9" s="1"/>
  <c r="L45" i="9" s="1"/>
  <c r="J46" i="9"/>
  <c r="K46" i="9" s="1"/>
  <c r="L46" i="9" s="1"/>
  <c r="J47" i="9"/>
  <c r="K47" i="9" s="1"/>
  <c r="L47" i="9" s="1"/>
  <c r="J48" i="9"/>
  <c r="K48" i="9" s="1"/>
  <c r="L48" i="9" s="1"/>
  <c r="J49" i="9"/>
  <c r="K49" i="9" s="1"/>
  <c r="L49" i="9" s="1"/>
  <c r="J50" i="9"/>
  <c r="K50" i="9" s="1"/>
  <c r="L50" i="9" s="1"/>
  <c r="J51" i="9"/>
  <c r="K51" i="9" s="1"/>
  <c r="L51" i="9" s="1"/>
  <c r="J53" i="9"/>
  <c r="K53" i="9" s="1"/>
  <c r="L53" i="9" s="1"/>
  <c r="J54" i="9"/>
  <c r="K54" i="9" s="1"/>
  <c r="L54" i="9" s="1"/>
  <c r="J55" i="9"/>
  <c r="K55" i="9" s="1"/>
  <c r="L55" i="9" s="1"/>
  <c r="J56" i="9"/>
  <c r="K56" i="9" s="1"/>
  <c r="L56" i="9" s="1"/>
  <c r="J57" i="9"/>
  <c r="K57" i="9" s="1"/>
  <c r="L57" i="9" s="1"/>
  <c r="J58" i="9"/>
  <c r="K58" i="9" s="1"/>
  <c r="L58" i="9" s="1"/>
  <c r="J59" i="9"/>
  <c r="K59" i="9" s="1"/>
  <c r="L59" i="9" s="1"/>
  <c r="J60" i="9"/>
  <c r="K60" i="9" s="1"/>
  <c r="L60" i="9" s="1"/>
  <c r="J61" i="9"/>
  <c r="K61" i="9" s="1"/>
  <c r="L61" i="9" s="1"/>
  <c r="J62" i="9"/>
  <c r="K62" i="9" s="1"/>
  <c r="L62" i="9" s="1"/>
  <c r="J63" i="9"/>
  <c r="K63" i="9" s="1"/>
  <c r="L63" i="9" s="1"/>
  <c r="J64" i="9"/>
  <c r="K64" i="9" s="1"/>
  <c r="L64" i="9" s="1"/>
  <c r="J65" i="9"/>
  <c r="K65" i="9" s="1"/>
  <c r="L65" i="9" s="1"/>
  <c r="J66" i="9"/>
  <c r="K66" i="9" s="1"/>
  <c r="L66" i="9" s="1"/>
  <c r="J67" i="9"/>
  <c r="K67" i="9" s="1"/>
  <c r="L67" i="9" s="1"/>
  <c r="J68" i="9"/>
  <c r="K68" i="9" s="1"/>
  <c r="L68" i="9" s="1"/>
  <c r="J69" i="9"/>
  <c r="K69" i="9" s="1"/>
  <c r="L69" i="9" s="1"/>
  <c r="J70" i="9"/>
  <c r="K70" i="9" s="1"/>
  <c r="L70" i="9" s="1"/>
  <c r="J71" i="9"/>
  <c r="K71" i="9" s="1"/>
  <c r="L71" i="9" s="1"/>
  <c r="J73" i="9"/>
  <c r="K73" i="9" s="1"/>
  <c r="L73" i="9" s="1"/>
  <c r="J74" i="9"/>
  <c r="K74" i="9" s="1"/>
  <c r="L74" i="9" s="1"/>
  <c r="J75" i="9"/>
  <c r="K75" i="9" s="1"/>
  <c r="L75" i="9" s="1"/>
  <c r="J76" i="9"/>
  <c r="K76" i="9" s="1"/>
  <c r="L76" i="9" s="1"/>
  <c r="J77" i="9"/>
  <c r="K77" i="9" s="1"/>
  <c r="L77" i="9" s="1"/>
  <c r="J78" i="9"/>
  <c r="K78" i="9" s="1"/>
  <c r="L78" i="9" s="1"/>
  <c r="J79" i="9"/>
  <c r="K79" i="9" s="1"/>
  <c r="L79" i="9" s="1"/>
  <c r="J80" i="9"/>
  <c r="K80" i="9" s="1"/>
  <c r="L80" i="9" s="1"/>
  <c r="J81" i="9"/>
  <c r="K81" i="9" s="1"/>
  <c r="L81" i="9" s="1"/>
  <c r="J82" i="9"/>
  <c r="K82" i="9" s="1"/>
  <c r="L82" i="9" s="1"/>
  <c r="J83" i="9"/>
  <c r="K83" i="9" s="1"/>
  <c r="L83" i="9" s="1"/>
  <c r="J84" i="9"/>
  <c r="K84" i="9" s="1"/>
  <c r="L84" i="9" s="1"/>
  <c r="J85" i="9"/>
  <c r="K85" i="9" s="1"/>
  <c r="L85" i="9" s="1"/>
  <c r="J86" i="9"/>
  <c r="K86" i="9" s="1"/>
  <c r="L86" i="9" s="1"/>
  <c r="J87" i="9"/>
  <c r="K87" i="9" s="1"/>
  <c r="L87" i="9" s="1"/>
  <c r="J88" i="9"/>
  <c r="K88" i="9" s="1"/>
  <c r="L88" i="9" s="1"/>
  <c r="J89" i="9"/>
  <c r="K89" i="9" s="1"/>
  <c r="L89" i="9" s="1"/>
  <c r="J90" i="9"/>
  <c r="K90" i="9" s="1"/>
  <c r="L90" i="9" s="1"/>
  <c r="J91" i="9"/>
  <c r="K91" i="9" s="1"/>
  <c r="L91" i="9" s="1"/>
  <c r="J92" i="9"/>
  <c r="K92" i="9" s="1"/>
  <c r="J33" i="9"/>
  <c r="K33" i="9" s="1"/>
  <c r="L33" i="9" s="1"/>
  <c r="U94" i="9" l="1"/>
  <c r="K175" i="23"/>
  <c r="L175" i="23" s="1"/>
  <c r="M175" i="23" s="1"/>
  <c r="K171" i="23"/>
  <c r="L171" i="23" s="1"/>
  <c r="M171" i="23" s="1"/>
  <c r="K174" i="23"/>
  <c r="L174" i="23" s="1"/>
  <c r="M174" i="23" s="1"/>
  <c r="K172" i="23"/>
  <c r="L172" i="23" s="1"/>
  <c r="M172" i="23" s="1"/>
  <c r="N138" i="9"/>
  <c r="O138" i="9" s="1"/>
  <c r="P138" i="9" s="1"/>
  <c r="N135" i="9"/>
  <c r="O135" i="9" s="1"/>
  <c r="P135" i="9" s="1"/>
  <c r="N98" i="9"/>
  <c r="O98" i="9" s="1"/>
  <c r="U98" i="9" s="1"/>
  <c r="N144" i="9"/>
  <c r="O144" i="9" s="1"/>
  <c r="P144" i="9" s="1"/>
  <c r="N146" i="9"/>
  <c r="O146" i="9" s="1"/>
  <c r="P146" i="9" s="1"/>
  <c r="N139" i="9"/>
  <c r="O139" i="9" s="1"/>
  <c r="P139" i="9" s="1"/>
  <c r="N143" i="9"/>
  <c r="O143" i="9" s="1"/>
  <c r="P143" i="9" s="1"/>
  <c r="N96" i="9"/>
  <c r="O96" i="9" s="1"/>
  <c r="U96" i="9" s="1"/>
  <c r="N131" i="9"/>
  <c r="O131" i="9" s="1"/>
  <c r="P131" i="9" s="1"/>
  <c r="N134" i="9"/>
  <c r="O134" i="9" s="1"/>
  <c r="P134" i="9" s="1"/>
  <c r="N137" i="9"/>
  <c r="O137" i="9" s="1"/>
  <c r="P137" i="9" s="1"/>
  <c r="N99" i="9"/>
  <c r="M67" i="9"/>
  <c r="N67" i="9" s="1"/>
  <c r="O67" i="9" s="1"/>
  <c r="M42" i="9"/>
  <c r="N42" i="9" s="1"/>
  <c r="O42" i="9" s="1"/>
  <c r="M34" i="9"/>
  <c r="N34" i="9" s="1"/>
  <c r="O34" i="9" s="1"/>
  <c r="M91" i="9"/>
  <c r="N91" i="9" s="1"/>
  <c r="O91" i="9" s="1"/>
  <c r="M83" i="9"/>
  <c r="N83" i="9" s="1"/>
  <c r="O83" i="9" s="1"/>
  <c r="M75" i="9"/>
  <c r="N75" i="9" s="1"/>
  <c r="O75" i="9" s="1"/>
  <c r="M66" i="9"/>
  <c r="N66" i="9" s="1"/>
  <c r="O66" i="9" s="1"/>
  <c r="M58" i="9"/>
  <c r="N58" i="9" s="1"/>
  <c r="O58" i="9" s="1"/>
  <c r="M49" i="9"/>
  <c r="N49" i="9" s="1"/>
  <c r="O49" i="9" s="1"/>
  <c r="M41" i="9"/>
  <c r="N41" i="9" s="1"/>
  <c r="O41" i="9" s="1"/>
  <c r="M76" i="9"/>
  <c r="N76" i="9" s="1"/>
  <c r="O76" i="9" s="1"/>
  <c r="M90" i="9"/>
  <c r="N90" i="9" s="1"/>
  <c r="O90" i="9" s="1"/>
  <c r="M40" i="9"/>
  <c r="N40" i="9" s="1"/>
  <c r="O40" i="9" s="1"/>
  <c r="M73" i="9"/>
  <c r="N73" i="9" s="1"/>
  <c r="O73" i="9" s="1"/>
  <c r="M56" i="9"/>
  <c r="N56" i="9" s="1"/>
  <c r="O56" i="9" s="1"/>
  <c r="M80" i="9"/>
  <c r="N80" i="9" s="1"/>
  <c r="O80" i="9" s="1"/>
  <c r="M71" i="9"/>
  <c r="N71" i="9" s="1"/>
  <c r="O71" i="9" s="1"/>
  <c r="M63" i="9"/>
  <c r="N63" i="9" s="1"/>
  <c r="O63" i="9" s="1"/>
  <c r="M55" i="9"/>
  <c r="N55" i="9" s="1"/>
  <c r="O55" i="9" s="1"/>
  <c r="M46" i="9"/>
  <c r="N46" i="9" s="1"/>
  <c r="O46" i="9" s="1"/>
  <c r="M38" i="9"/>
  <c r="N38" i="9" s="1"/>
  <c r="O38" i="9" s="1"/>
  <c r="M84" i="9"/>
  <c r="N84" i="9" s="1"/>
  <c r="O84" i="9" s="1"/>
  <c r="M50" i="9"/>
  <c r="N50" i="9" s="1"/>
  <c r="O50" i="9" s="1"/>
  <c r="M74" i="9"/>
  <c r="N74" i="9" s="1"/>
  <c r="O74" i="9" s="1"/>
  <c r="M57" i="9"/>
  <c r="N57" i="9" s="1"/>
  <c r="O57" i="9" s="1"/>
  <c r="M87" i="9"/>
  <c r="N87" i="9" s="1"/>
  <c r="O87" i="9" s="1"/>
  <c r="M79" i="9"/>
  <c r="N79" i="9" s="1"/>
  <c r="O79" i="9" s="1"/>
  <c r="M70" i="9"/>
  <c r="N70" i="9" s="1"/>
  <c r="O70" i="9" s="1"/>
  <c r="M62" i="9"/>
  <c r="N62" i="9" s="1"/>
  <c r="O62" i="9" s="1"/>
  <c r="M54" i="9"/>
  <c r="N54" i="9" s="1"/>
  <c r="O54" i="9" s="1"/>
  <c r="M45" i="9"/>
  <c r="N45" i="9" s="1"/>
  <c r="O45" i="9" s="1"/>
  <c r="M37" i="9"/>
  <c r="N37" i="9" s="1"/>
  <c r="O37" i="9" s="1"/>
  <c r="M59" i="9"/>
  <c r="N59" i="9" s="1"/>
  <c r="O59" i="9" s="1"/>
  <c r="M82" i="9"/>
  <c r="N82" i="9" s="1"/>
  <c r="O82" i="9" s="1"/>
  <c r="M65" i="9"/>
  <c r="N65" i="9" s="1"/>
  <c r="O65" i="9" s="1"/>
  <c r="M81" i="9"/>
  <c r="N81" i="9" s="1"/>
  <c r="O81" i="9" s="1"/>
  <c r="M39" i="9"/>
  <c r="N39" i="9" s="1"/>
  <c r="O39" i="9" s="1"/>
  <c r="M88" i="9"/>
  <c r="N88" i="9" s="1"/>
  <c r="O88" i="9" s="1"/>
  <c r="M86" i="9"/>
  <c r="N86" i="9" s="1"/>
  <c r="O86" i="9" s="1"/>
  <c r="M78" i="9"/>
  <c r="N78" i="9" s="1"/>
  <c r="O78" i="9" s="1"/>
  <c r="M69" i="9"/>
  <c r="N69" i="9" s="1"/>
  <c r="O69" i="9" s="1"/>
  <c r="M61" i="9"/>
  <c r="N61" i="9" s="1"/>
  <c r="O61" i="9" s="1"/>
  <c r="M53" i="9"/>
  <c r="N53" i="9" s="1"/>
  <c r="O53" i="9" s="1"/>
  <c r="M44" i="9"/>
  <c r="N44" i="9" s="1"/>
  <c r="O44" i="9" s="1"/>
  <c r="M36" i="9"/>
  <c r="N36" i="9" s="1"/>
  <c r="O36" i="9" s="1"/>
  <c r="M48" i="9"/>
  <c r="N48" i="9" s="1"/>
  <c r="O48" i="9" s="1"/>
  <c r="M89" i="9"/>
  <c r="N89" i="9" s="1"/>
  <c r="O89" i="9" s="1"/>
  <c r="M64" i="9"/>
  <c r="N64" i="9" s="1"/>
  <c r="O64" i="9" s="1"/>
  <c r="M47" i="9"/>
  <c r="N47" i="9" s="1"/>
  <c r="O47" i="9" s="1"/>
  <c r="M33" i="9"/>
  <c r="N33" i="9" s="1"/>
  <c r="O33" i="9" s="1"/>
  <c r="M85" i="9"/>
  <c r="N85" i="9" s="1"/>
  <c r="O85" i="9" s="1"/>
  <c r="M77" i="9"/>
  <c r="N77" i="9" s="1"/>
  <c r="O77" i="9" s="1"/>
  <c r="M68" i="9"/>
  <c r="N68" i="9" s="1"/>
  <c r="O68" i="9" s="1"/>
  <c r="M60" i="9"/>
  <c r="N60" i="9" s="1"/>
  <c r="O60" i="9" s="1"/>
  <c r="M51" i="9"/>
  <c r="N51" i="9" s="1"/>
  <c r="O51" i="9" s="1"/>
  <c r="M43" i="9"/>
  <c r="N43" i="9" s="1"/>
  <c r="O43" i="9" s="1"/>
  <c r="M35" i="9"/>
  <c r="N35" i="9" s="1"/>
  <c r="O35" i="9" s="1"/>
  <c r="J24" i="9"/>
  <c r="K24" i="9" s="1"/>
  <c r="L24" i="9" s="1"/>
  <c r="J25" i="9"/>
  <c r="K25" i="9" s="1"/>
  <c r="L25" i="9" s="1"/>
  <c r="J26" i="9"/>
  <c r="K26" i="9" s="1"/>
  <c r="L26" i="9" s="1"/>
  <c r="J28" i="9"/>
  <c r="K28" i="9" s="1"/>
  <c r="L28" i="9" s="1"/>
  <c r="J29" i="9"/>
  <c r="K29" i="9" s="1"/>
  <c r="L29" i="9" s="1"/>
  <c r="J30" i="9"/>
  <c r="K30" i="9" s="1"/>
  <c r="L30" i="9" s="1"/>
  <c r="U33" i="9" l="1"/>
  <c r="U36" i="9"/>
  <c r="U90" i="9"/>
  <c r="U49" i="9"/>
  <c r="U39" i="9"/>
  <c r="U34" i="9"/>
  <c r="U44" i="9"/>
  <c r="U35" i="9"/>
  <c r="U40" i="9"/>
  <c r="U41" i="9"/>
  <c r="U50" i="9"/>
  <c r="U38" i="9"/>
  <c r="U46" i="9"/>
  <c r="U47" i="9"/>
  <c r="U37" i="9"/>
  <c r="U80" i="9"/>
  <c r="U89" i="9"/>
  <c r="T56" i="9"/>
  <c r="T70" i="9"/>
  <c r="U79" i="9"/>
  <c r="U78" i="9"/>
  <c r="T66" i="9"/>
  <c r="T60" i="9"/>
  <c r="U84" i="9"/>
  <c r="U83" i="9"/>
  <c r="U81" i="9"/>
  <c r="T55" i="9"/>
  <c r="U76" i="9"/>
  <c r="T61" i="9"/>
  <c r="T57" i="9"/>
  <c r="U74" i="9"/>
  <c r="T58" i="9"/>
  <c r="U86" i="9"/>
  <c r="U75" i="9"/>
  <c r="U77" i="9"/>
  <c r="U91" i="9"/>
  <c r="U82" i="9"/>
  <c r="T64" i="9"/>
  <c r="T54" i="9"/>
  <c r="U87" i="9"/>
  <c r="T69" i="9"/>
  <c r="U88" i="9"/>
  <c r="U85" i="9"/>
  <c r="T59" i="9"/>
  <c r="T67" i="9"/>
  <c r="M25" i="9"/>
  <c r="M30" i="9"/>
  <c r="N30" i="9" s="1"/>
  <c r="O30" i="9" s="1"/>
  <c r="M29" i="9"/>
  <c r="N29" i="9" s="1"/>
  <c r="O29" i="9" s="1"/>
  <c r="M24" i="9"/>
  <c r="N24" i="9" s="1"/>
  <c r="O24" i="9" s="1"/>
  <c r="M28" i="9"/>
  <c r="M26" i="9"/>
  <c r="J11" i="8"/>
  <c r="K11" i="8" s="1"/>
  <c r="L11" i="8" s="1"/>
  <c r="J12" i="8"/>
  <c r="K12" i="8" s="1"/>
  <c r="L12" i="8" s="1"/>
  <c r="AA11" i="8" s="1"/>
  <c r="J16" i="8"/>
  <c r="K16" i="8" s="1"/>
  <c r="L16" i="8" s="1"/>
  <c r="J33" i="8"/>
  <c r="K33" i="8" s="1"/>
  <c r="L33" i="8" s="1"/>
  <c r="J115" i="8"/>
  <c r="K115" i="8" s="1"/>
  <c r="J175" i="8"/>
  <c r="K175" i="8" s="1"/>
  <c r="H5" i="7"/>
  <c r="I5" i="7" s="1"/>
  <c r="H6" i="7"/>
  <c r="I6" i="7" s="1"/>
  <c r="H7" i="7"/>
  <c r="I7" i="7" s="1"/>
  <c r="H8" i="7"/>
  <c r="I8" i="7" s="1"/>
  <c r="H9" i="7"/>
  <c r="I9" i="7" s="1"/>
  <c r="H10" i="7"/>
  <c r="I10" i="7" s="1"/>
  <c r="H11" i="7"/>
  <c r="I11" i="7" s="1"/>
  <c r="H12" i="7"/>
  <c r="I12" i="7" s="1"/>
  <c r="H13" i="7"/>
  <c r="I13" i="7" s="1"/>
  <c r="H14" i="7"/>
  <c r="I14" i="7" s="1"/>
  <c r="H15" i="7"/>
  <c r="I15" i="7" s="1"/>
  <c r="H16" i="7"/>
  <c r="I16" i="7" s="1"/>
  <c r="H17" i="7"/>
  <c r="I17" i="7" s="1"/>
  <c r="H18" i="7"/>
  <c r="I18" i="7" s="1"/>
  <c r="H19" i="7"/>
  <c r="I19" i="7" s="1"/>
  <c r="H20" i="7"/>
  <c r="I20" i="7" s="1"/>
  <c r="H21" i="7"/>
  <c r="I21" i="7" s="1"/>
  <c r="H22" i="7"/>
  <c r="I22" i="7" s="1"/>
  <c r="H23" i="7"/>
  <c r="I23" i="7" s="1"/>
  <c r="H24" i="7"/>
  <c r="I24" i="7" s="1"/>
  <c r="H25" i="7"/>
  <c r="I25" i="7" s="1"/>
  <c r="H26" i="7"/>
  <c r="I26" i="7" s="1"/>
  <c r="H27" i="7"/>
  <c r="I27" i="7" s="1"/>
  <c r="H28" i="7"/>
  <c r="I28" i="7" s="1"/>
  <c r="H29" i="7"/>
  <c r="I29" i="7" s="1"/>
  <c r="H30" i="7"/>
  <c r="I30" i="7" s="1"/>
  <c r="H31" i="7"/>
  <c r="I31" i="7" s="1"/>
  <c r="H32" i="7"/>
  <c r="I32" i="7" s="1"/>
  <c r="H33" i="7"/>
  <c r="I33" i="7" s="1"/>
  <c r="H34" i="7"/>
  <c r="I34" i="7" s="1"/>
  <c r="H35" i="7"/>
  <c r="I35" i="7" s="1"/>
  <c r="H36" i="7"/>
  <c r="I36" i="7" s="1"/>
  <c r="H37" i="7"/>
  <c r="I37" i="7" s="1"/>
  <c r="H38" i="7"/>
  <c r="I38" i="7" s="1"/>
  <c r="J38" i="7" s="1"/>
  <c r="K38" i="7" s="1"/>
  <c r="L38" i="7" s="1"/>
  <c r="M38" i="7" s="1"/>
  <c r="N38" i="7" s="1"/>
  <c r="H39" i="7"/>
  <c r="I39" i="7" s="1"/>
  <c r="H40" i="7"/>
  <c r="I40" i="7" s="1"/>
  <c r="H41" i="7"/>
  <c r="I41" i="7" s="1"/>
  <c r="H42" i="7"/>
  <c r="I42" i="7" s="1"/>
  <c r="H43" i="7"/>
  <c r="I43" i="7" s="1"/>
  <c r="H44" i="7"/>
  <c r="I44" i="7" s="1"/>
  <c r="H45" i="7"/>
  <c r="I45" i="7" s="1"/>
  <c r="H46" i="7"/>
  <c r="I46" i="7" s="1"/>
  <c r="H47" i="7"/>
  <c r="I47" i="7" s="1"/>
  <c r="H48" i="7"/>
  <c r="I48" i="7" s="1"/>
  <c r="H49" i="7"/>
  <c r="I49" i="7" s="1"/>
  <c r="H50" i="7"/>
  <c r="I50" i="7" s="1"/>
  <c r="H51" i="7"/>
  <c r="I51" i="7" s="1"/>
  <c r="H52" i="7"/>
  <c r="I52" i="7" s="1"/>
  <c r="H53" i="7"/>
  <c r="I53" i="7" s="1"/>
  <c r="H4" i="7"/>
  <c r="I4" i="7" s="1"/>
  <c r="N26" i="9" l="1"/>
  <c r="O26" i="9" s="1"/>
  <c r="N25" i="9"/>
  <c r="O25" i="9" s="1"/>
  <c r="N28" i="9"/>
  <c r="O28" i="9" s="1"/>
  <c r="M12" i="8"/>
  <c r="N12" i="8" s="1"/>
  <c r="M11" i="8"/>
  <c r="N11" i="8" s="1"/>
  <c r="M33" i="8"/>
  <c r="F37" i="23"/>
  <c r="G37" i="23" s="1"/>
  <c r="H37" i="23" s="1"/>
  <c r="I37" i="23" s="1"/>
  <c r="J37" i="23" s="1"/>
  <c r="K37" i="23" s="1"/>
  <c r="L37" i="23" s="1"/>
  <c r="M37" i="23" s="1"/>
  <c r="G25" i="27"/>
  <c r="H25" i="27" s="1"/>
  <c r="I25" i="27" s="1"/>
  <c r="J25" i="27" s="1"/>
  <c r="K25" i="27" s="1"/>
  <c r="L25" i="27" s="1"/>
  <c r="M25" i="27" s="1"/>
  <c r="N25" i="27" s="1"/>
  <c r="G26" i="27"/>
  <c r="H26" i="27" s="1"/>
  <c r="I26" i="27" s="1"/>
  <c r="J26" i="27" s="1"/>
  <c r="K26" i="27" s="1"/>
  <c r="L26" i="27" s="1"/>
  <c r="M26" i="27" s="1"/>
  <c r="N26" i="27" s="1"/>
  <c r="G24" i="27"/>
  <c r="H24" i="27" s="1"/>
  <c r="I24" i="27" s="1"/>
  <c r="J24" i="27" s="1"/>
  <c r="K24" i="27" s="1"/>
  <c r="L24" i="27" s="1"/>
  <c r="M24" i="27" s="1"/>
  <c r="N24" i="27" s="1"/>
  <c r="G15" i="27"/>
  <c r="H15" i="27" s="1"/>
  <c r="I15" i="27" s="1"/>
  <c r="J15" i="27" s="1"/>
  <c r="K15" i="27" s="1"/>
  <c r="L15" i="27" s="1"/>
  <c r="M15" i="27" s="1"/>
  <c r="N15" i="27" s="1"/>
  <c r="G16" i="27"/>
  <c r="H16" i="27" s="1"/>
  <c r="I16" i="27" s="1"/>
  <c r="J16" i="27" s="1"/>
  <c r="K16" i="27" s="1"/>
  <c r="L16" i="27" s="1"/>
  <c r="M16" i="27" s="1"/>
  <c r="N16" i="27" s="1"/>
  <c r="G17" i="27"/>
  <c r="H17" i="27" s="1"/>
  <c r="I17" i="27" s="1"/>
  <c r="J17" i="27" s="1"/>
  <c r="K17" i="27" s="1"/>
  <c r="L17" i="27" s="1"/>
  <c r="M17" i="27" s="1"/>
  <c r="N17" i="27" s="1"/>
  <c r="G18" i="27"/>
  <c r="H18" i="27" s="1"/>
  <c r="I18" i="27" s="1"/>
  <c r="J18" i="27" s="1"/>
  <c r="K18" i="27" s="1"/>
  <c r="L18" i="27" s="1"/>
  <c r="M18" i="27" s="1"/>
  <c r="N18" i="27" s="1"/>
  <c r="G19" i="27"/>
  <c r="H19" i="27" s="1"/>
  <c r="I19" i="27" s="1"/>
  <c r="J19" i="27" s="1"/>
  <c r="K19" i="27" s="1"/>
  <c r="L19" i="27" s="1"/>
  <c r="M19" i="27" s="1"/>
  <c r="N19" i="27" s="1"/>
  <c r="G20" i="27"/>
  <c r="H20" i="27" s="1"/>
  <c r="I20" i="27" s="1"/>
  <c r="J20" i="27" s="1"/>
  <c r="K20" i="27" s="1"/>
  <c r="L20" i="27" s="1"/>
  <c r="M20" i="27" s="1"/>
  <c r="N20" i="27" s="1"/>
  <c r="G21" i="27"/>
  <c r="H21" i="27" s="1"/>
  <c r="I21" i="27" s="1"/>
  <c r="J21" i="27" s="1"/>
  <c r="K21" i="27" s="1"/>
  <c r="L21" i="27" s="1"/>
  <c r="M21" i="27" s="1"/>
  <c r="N21" i="27" s="1"/>
  <c r="G14" i="27"/>
  <c r="H14" i="27" s="1"/>
  <c r="I14" i="27" s="1"/>
  <c r="J14" i="27" s="1"/>
  <c r="K14" i="27" s="1"/>
  <c r="L14" i="27" s="1"/>
  <c r="M14" i="27" s="1"/>
  <c r="N14" i="27" s="1"/>
  <c r="G5" i="27"/>
  <c r="H5" i="27" s="1"/>
  <c r="I5" i="27" s="1"/>
  <c r="J5" i="27" s="1"/>
  <c r="K5" i="27" s="1"/>
  <c r="L5" i="27" s="1"/>
  <c r="M5" i="27" s="1"/>
  <c r="N5" i="27" s="1"/>
  <c r="G6" i="27"/>
  <c r="H6" i="27" s="1"/>
  <c r="I6" i="27" s="1"/>
  <c r="J6" i="27" s="1"/>
  <c r="K6" i="27" s="1"/>
  <c r="L6" i="27" s="1"/>
  <c r="M6" i="27" s="1"/>
  <c r="N6" i="27" s="1"/>
  <c r="G7" i="27"/>
  <c r="H7" i="27" s="1"/>
  <c r="I7" i="27" s="1"/>
  <c r="J7" i="27" s="1"/>
  <c r="K7" i="27" s="1"/>
  <c r="L7" i="27" s="1"/>
  <c r="M7" i="27" s="1"/>
  <c r="N7" i="27" s="1"/>
  <c r="G8" i="27"/>
  <c r="H8" i="27" s="1"/>
  <c r="I8" i="27" s="1"/>
  <c r="J8" i="27" s="1"/>
  <c r="K8" i="27" s="1"/>
  <c r="L8" i="27" s="1"/>
  <c r="M8" i="27" s="1"/>
  <c r="N8" i="27" s="1"/>
  <c r="G9" i="27"/>
  <c r="H9" i="27" s="1"/>
  <c r="I9" i="27" s="1"/>
  <c r="J9" i="27" s="1"/>
  <c r="K9" i="27" s="1"/>
  <c r="L9" i="27" s="1"/>
  <c r="M9" i="27" s="1"/>
  <c r="N9" i="27" s="1"/>
  <c r="G10" i="27"/>
  <c r="H10" i="27" s="1"/>
  <c r="I10" i="27" s="1"/>
  <c r="J10" i="27" s="1"/>
  <c r="K10" i="27" s="1"/>
  <c r="L10" i="27" s="1"/>
  <c r="M10" i="27" s="1"/>
  <c r="N10" i="27" s="1"/>
  <c r="G11" i="27"/>
  <c r="H11" i="27" s="1"/>
  <c r="I11" i="27" s="1"/>
  <c r="J11" i="27" s="1"/>
  <c r="K11" i="27" s="1"/>
  <c r="L11" i="27" s="1"/>
  <c r="M11" i="27" s="1"/>
  <c r="N11" i="27" s="1"/>
  <c r="G4" i="27"/>
  <c r="H4" i="27" s="1"/>
  <c r="I4" i="27" s="1"/>
  <c r="J4" i="27" s="1"/>
  <c r="K4" i="27" s="1"/>
  <c r="L4" i="27" s="1"/>
  <c r="M4" i="27" s="1"/>
  <c r="N4" i="27" s="1"/>
  <c r="J6" i="26"/>
  <c r="K6" i="26" s="1"/>
  <c r="L6" i="26" s="1"/>
  <c r="M6" i="26" s="1"/>
  <c r="N6" i="26" s="1"/>
  <c r="O6" i="26" s="1"/>
  <c r="J7" i="26"/>
  <c r="K7" i="26" s="1"/>
  <c r="L7" i="26" s="1"/>
  <c r="M7" i="26" s="1"/>
  <c r="N7" i="26" s="1"/>
  <c r="O7" i="26" s="1"/>
  <c r="J8" i="26"/>
  <c r="K8" i="26" s="1"/>
  <c r="L8" i="26" s="1"/>
  <c r="M8" i="26" s="1"/>
  <c r="N8" i="26" s="1"/>
  <c r="O8" i="26" s="1"/>
  <c r="J9" i="26"/>
  <c r="K9" i="26" s="1"/>
  <c r="L9" i="26" s="1"/>
  <c r="M9" i="26" s="1"/>
  <c r="N9" i="26" s="1"/>
  <c r="O9" i="26" s="1"/>
  <c r="J10" i="26"/>
  <c r="K10" i="26" s="1"/>
  <c r="L10" i="26" s="1"/>
  <c r="M10" i="26" s="1"/>
  <c r="N10" i="26" s="1"/>
  <c r="O10" i="26" s="1"/>
  <c r="J5" i="26"/>
  <c r="K5" i="26" s="1"/>
  <c r="L5" i="26" s="1"/>
  <c r="M5" i="26" s="1"/>
  <c r="N5" i="26" s="1"/>
  <c r="O5" i="26" s="1"/>
  <c r="G31" i="25"/>
  <c r="H31" i="25" s="1"/>
  <c r="I31" i="25" s="1"/>
  <c r="J31" i="25" s="1"/>
  <c r="K31" i="25" s="1"/>
  <c r="L31" i="25" s="1"/>
  <c r="M31" i="25" s="1"/>
  <c r="N31" i="25" s="1"/>
  <c r="G32" i="25"/>
  <c r="H32" i="25" s="1"/>
  <c r="I32" i="25" s="1"/>
  <c r="J32" i="25" s="1"/>
  <c r="K32" i="25" s="1"/>
  <c r="L32" i="25" s="1"/>
  <c r="M32" i="25" s="1"/>
  <c r="N32" i="25" s="1"/>
  <c r="G30" i="25"/>
  <c r="H30" i="25" s="1"/>
  <c r="I30" i="25" s="1"/>
  <c r="J30" i="25" s="1"/>
  <c r="K30" i="25" s="1"/>
  <c r="L30" i="25" s="1"/>
  <c r="M30" i="25" s="1"/>
  <c r="N30" i="25" s="1"/>
  <c r="G25" i="25"/>
  <c r="H25" i="25" s="1"/>
  <c r="I25" i="25" s="1"/>
  <c r="J25" i="25" s="1"/>
  <c r="K25" i="25" s="1"/>
  <c r="L25" i="25" s="1"/>
  <c r="M25" i="25" s="1"/>
  <c r="N25" i="25" s="1"/>
  <c r="G26" i="25"/>
  <c r="H26" i="25" s="1"/>
  <c r="I26" i="25" s="1"/>
  <c r="J26" i="25" s="1"/>
  <c r="K26" i="25" s="1"/>
  <c r="L26" i="25" s="1"/>
  <c r="M26" i="25" s="1"/>
  <c r="N26" i="25" s="1"/>
  <c r="G27" i="25"/>
  <c r="H27" i="25" s="1"/>
  <c r="I27" i="25" s="1"/>
  <c r="J27" i="25" s="1"/>
  <c r="K27" i="25" s="1"/>
  <c r="L27" i="25" s="1"/>
  <c r="M27" i="25" s="1"/>
  <c r="N27" i="25" s="1"/>
  <c r="G28" i="25"/>
  <c r="H28" i="25" s="1"/>
  <c r="I28" i="25" s="1"/>
  <c r="J28" i="25" s="1"/>
  <c r="K28" i="25" s="1"/>
  <c r="L28" i="25" s="1"/>
  <c r="M28" i="25" s="1"/>
  <c r="N28" i="25" s="1"/>
  <c r="G24" i="25"/>
  <c r="H24" i="25" s="1"/>
  <c r="I24" i="25" s="1"/>
  <c r="J24" i="25" s="1"/>
  <c r="K24" i="25" s="1"/>
  <c r="L24" i="25" s="1"/>
  <c r="M24" i="25" s="1"/>
  <c r="N24" i="25" s="1"/>
  <c r="G15" i="25"/>
  <c r="H15" i="25" s="1"/>
  <c r="I15" i="25" s="1"/>
  <c r="J15" i="25" s="1"/>
  <c r="K15" i="25" s="1"/>
  <c r="L15" i="25" s="1"/>
  <c r="M15" i="25" s="1"/>
  <c r="N15" i="25" s="1"/>
  <c r="G16" i="25"/>
  <c r="H16" i="25" s="1"/>
  <c r="I16" i="25" s="1"/>
  <c r="J16" i="25" s="1"/>
  <c r="K16" i="25" s="1"/>
  <c r="L16" i="25" s="1"/>
  <c r="M16" i="25" s="1"/>
  <c r="N16" i="25" s="1"/>
  <c r="G17" i="25"/>
  <c r="H17" i="25" s="1"/>
  <c r="I17" i="25" s="1"/>
  <c r="J17" i="25" s="1"/>
  <c r="K17" i="25" s="1"/>
  <c r="L17" i="25" s="1"/>
  <c r="M17" i="25" s="1"/>
  <c r="N17" i="25" s="1"/>
  <c r="G18" i="25"/>
  <c r="H18" i="25" s="1"/>
  <c r="I18" i="25" s="1"/>
  <c r="J18" i="25" s="1"/>
  <c r="K18" i="25" s="1"/>
  <c r="L18" i="25" s="1"/>
  <c r="M18" i="25" s="1"/>
  <c r="N18" i="25" s="1"/>
  <c r="G19" i="25"/>
  <c r="H19" i="25" s="1"/>
  <c r="I19" i="25" s="1"/>
  <c r="J19" i="25" s="1"/>
  <c r="K19" i="25" s="1"/>
  <c r="L19" i="25" s="1"/>
  <c r="M19" i="25" s="1"/>
  <c r="N19" i="25" s="1"/>
  <c r="G20" i="25"/>
  <c r="H20" i="25" s="1"/>
  <c r="I20" i="25" s="1"/>
  <c r="J20" i="25" s="1"/>
  <c r="K20" i="25" s="1"/>
  <c r="L20" i="25" s="1"/>
  <c r="M20" i="25" s="1"/>
  <c r="N20" i="25" s="1"/>
  <c r="G21" i="25"/>
  <c r="H21" i="25" s="1"/>
  <c r="I21" i="25" s="1"/>
  <c r="J21" i="25" s="1"/>
  <c r="K21" i="25" s="1"/>
  <c r="L21" i="25" s="1"/>
  <c r="M21" i="25" s="1"/>
  <c r="N21" i="25" s="1"/>
  <c r="G22" i="25"/>
  <c r="H22" i="25" s="1"/>
  <c r="I22" i="25" s="1"/>
  <c r="J22" i="25" s="1"/>
  <c r="K22" i="25" s="1"/>
  <c r="L22" i="25" s="1"/>
  <c r="M22" i="25" s="1"/>
  <c r="N22" i="25" s="1"/>
  <c r="G14" i="25"/>
  <c r="H14" i="25" s="1"/>
  <c r="I14" i="25" s="1"/>
  <c r="J14" i="25" s="1"/>
  <c r="K14" i="25" s="1"/>
  <c r="L14" i="25" s="1"/>
  <c r="M14" i="25" s="1"/>
  <c r="N14" i="25" s="1"/>
  <c r="G5" i="25"/>
  <c r="H5" i="25" s="1"/>
  <c r="I5" i="25" s="1"/>
  <c r="J5" i="25" s="1"/>
  <c r="K5" i="25" s="1"/>
  <c r="L5" i="25" s="1"/>
  <c r="M5" i="25" s="1"/>
  <c r="N5" i="25" s="1"/>
  <c r="G6" i="25"/>
  <c r="H6" i="25" s="1"/>
  <c r="I6" i="25" s="1"/>
  <c r="J6" i="25" s="1"/>
  <c r="K6" i="25" s="1"/>
  <c r="L6" i="25" s="1"/>
  <c r="M6" i="25" s="1"/>
  <c r="N6" i="25" s="1"/>
  <c r="G7" i="25"/>
  <c r="H7" i="25" s="1"/>
  <c r="I7" i="25" s="1"/>
  <c r="J7" i="25" s="1"/>
  <c r="K7" i="25" s="1"/>
  <c r="L7" i="25" s="1"/>
  <c r="M7" i="25" s="1"/>
  <c r="N7" i="25" s="1"/>
  <c r="G8" i="25"/>
  <c r="H8" i="25" s="1"/>
  <c r="I8" i="25" s="1"/>
  <c r="J8" i="25" s="1"/>
  <c r="K8" i="25" s="1"/>
  <c r="L8" i="25" s="1"/>
  <c r="M8" i="25" s="1"/>
  <c r="N8" i="25" s="1"/>
  <c r="G9" i="25"/>
  <c r="H9" i="25" s="1"/>
  <c r="I9" i="25" s="1"/>
  <c r="J9" i="25" s="1"/>
  <c r="K9" i="25" s="1"/>
  <c r="L9" i="25" s="1"/>
  <c r="M9" i="25" s="1"/>
  <c r="N9" i="25" s="1"/>
  <c r="G10" i="25"/>
  <c r="H10" i="25" s="1"/>
  <c r="I10" i="25" s="1"/>
  <c r="J10" i="25" s="1"/>
  <c r="K10" i="25" s="1"/>
  <c r="L10" i="25" s="1"/>
  <c r="M10" i="25" s="1"/>
  <c r="N10" i="25" s="1"/>
  <c r="G11" i="25"/>
  <c r="H11" i="25" s="1"/>
  <c r="I11" i="25" s="1"/>
  <c r="J11" i="25" s="1"/>
  <c r="K11" i="25" s="1"/>
  <c r="L11" i="25" s="1"/>
  <c r="M11" i="25" s="1"/>
  <c r="N11" i="25" s="1"/>
  <c r="G12" i="25"/>
  <c r="H12" i="25" s="1"/>
  <c r="I12" i="25" s="1"/>
  <c r="J12" i="25" s="1"/>
  <c r="K12" i="25" s="1"/>
  <c r="L12" i="25" s="1"/>
  <c r="M12" i="25" s="1"/>
  <c r="N12" i="25" s="1"/>
  <c r="G4" i="25"/>
  <c r="H4" i="25" s="1"/>
  <c r="I4" i="25" s="1"/>
  <c r="J4" i="25" s="1"/>
  <c r="K4" i="25" s="1"/>
  <c r="L4" i="25" s="1"/>
  <c r="M4" i="25" s="1"/>
  <c r="N4" i="25" s="1"/>
  <c r="F93" i="23"/>
  <c r="G93" i="23" s="1"/>
  <c r="H93" i="23" s="1"/>
  <c r="I93" i="23" s="1"/>
  <c r="J93" i="23" s="1"/>
  <c r="K93" i="23" s="1"/>
  <c r="L93" i="23" s="1"/>
  <c r="M93" i="23" s="1"/>
  <c r="F94" i="23"/>
  <c r="G94" i="23" s="1"/>
  <c r="H94" i="23" s="1"/>
  <c r="I94" i="23" s="1"/>
  <c r="J94" i="23" s="1"/>
  <c r="K94" i="23" s="1"/>
  <c r="L94" i="23" s="1"/>
  <c r="M94" i="23" s="1"/>
  <c r="F95" i="23"/>
  <c r="G95" i="23" s="1"/>
  <c r="H95" i="23" s="1"/>
  <c r="I95" i="23" s="1"/>
  <c r="J95" i="23" s="1"/>
  <c r="K95" i="23" s="1"/>
  <c r="L95" i="23" s="1"/>
  <c r="M95" i="23" s="1"/>
  <c r="F96" i="23"/>
  <c r="G96" i="23" s="1"/>
  <c r="H96" i="23" s="1"/>
  <c r="I96" i="23" s="1"/>
  <c r="J96" i="23" s="1"/>
  <c r="K96" i="23" s="1"/>
  <c r="L96" i="23" s="1"/>
  <c r="M96" i="23" s="1"/>
  <c r="F97" i="23"/>
  <c r="G97" i="23" s="1"/>
  <c r="H97" i="23" s="1"/>
  <c r="I97" i="23" s="1"/>
  <c r="J97" i="23" s="1"/>
  <c r="K97" i="23" s="1"/>
  <c r="L97" i="23" s="1"/>
  <c r="M97" i="23" s="1"/>
  <c r="F98" i="23"/>
  <c r="G98" i="23" s="1"/>
  <c r="H98" i="23" s="1"/>
  <c r="I98" i="23" s="1"/>
  <c r="J98" i="23" s="1"/>
  <c r="K98" i="23" s="1"/>
  <c r="L98" i="23" s="1"/>
  <c r="M98" i="23" s="1"/>
  <c r="F99" i="23"/>
  <c r="G99" i="23" s="1"/>
  <c r="H99" i="23" s="1"/>
  <c r="I99" i="23" s="1"/>
  <c r="J99" i="23" s="1"/>
  <c r="K99" i="23" s="1"/>
  <c r="L99" i="23" s="1"/>
  <c r="M99" i="23" s="1"/>
  <c r="F100" i="23"/>
  <c r="G100" i="23" s="1"/>
  <c r="H100" i="23" s="1"/>
  <c r="I100" i="23" s="1"/>
  <c r="J100" i="23" s="1"/>
  <c r="K100" i="23" s="1"/>
  <c r="L100" i="23" s="1"/>
  <c r="M100" i="23" s="1"/>
  <c r="F101" i="23"/>
  <c r="G101" i="23" s="1"/>
  <c r="H101" i="23" s="1"/>
  <c r="I101" i="23" s="1"/>
  <c r="J101" i="23" s="1"/>
  <c r="K101" i="23" s="1"/>
  <c r="L101" i="23" s="1"/>
  <c r="M101" i="23" s="1"/>
  <c r="F102" i="23"/>
  <c r="G102" i="23" s="1"/>
  <c r="H102" i="23" s="1"/>
  <c r="I102" i="23" s="1"/>
  <c r="J102" i="23" s="1"/>
  <c r="K102" i="23" s="1"/>
  <c r="L102" i="23" s="1"/>
  <c r="M102" i="23" s="1"/>
  <c r="F103" i="23"/>
  <c r="G103" i="23" s="1"/>
  <c r="H103" i="23" s="1"/>
  <c r="I103" i="23" s="1"/>
  <c r="J103" i="23" s="1"/>
  <c r="K103" i="23" s="1"/>
  <c r="L103" i="23" s="1"/>
  <c r="M103" i="23" s="1"/>
  <c r="F104" i="23"/>
  <c r="G104" i="23" s="1"/>
  <c r="H104" i="23" s="1"/>
  <c r="I104" i="23" s="1"/>
  <c r="J104" i="23" s="1"/>
  <c r="K104" i="23" s="1"/>
  <c r="L104" i="23" s="1"/>
  <c r="M104" i="23" s="1"/>
  <c r="F105" i="23"/>
  <c r="G105" i="23" s="1"/>
  <c r="H105" i="23" s="1"/>
  <c r="I105" i="23" s="1"/>
  <c r="J105" i="23" s="1"/>
  <c r="K105" i="23" s="1"/>
  <c r="L105" i="23" s="1"/>
  <c r="M105" i="23" s="1"/>
  <c r="F106" i="23"/>
  <c r="G106" i="23" s="1"/>
  <c r="H106" i="23" s="1"/>
  <c r="I106" i="23" s="1"/>
  <c r="J106" i="23" s="1"/>
  <c r="K106" i="23" s="1"/>
  <c r="L106" i="23" s="1"/>
  <c r="M106" i="23" s="1"/>
  <c r="F107" i="23"/>
  <c r="G107" i="23" s="1"/>
  <c r="H107" i="23" s="1"/>
  <c r="I107" i="23" s="1"/>
  <c r="J107" i="23" s="1"/>
  <c r="K107" i="23" s="1"/>
  <c r="L107" i="23" s="1"/>
  <c r="M107" i="23" s="1"/>
  <c r="F108" i="23"/>
  <c r="G108" i="23" s="1"/>
  <c r="H108" i="23" s="1"/>
  <c r="I108" i="23" s="1"/>
  <c r="J108" i="23" s="1"/>
  <c r="K108" i="23" s="1"/>
  <c r="L108" i="23" s="1"/>
  <c r="M108" i="23" s="1"/>
  <c r="F109" i="23"/>
  <c r="G109" i="23" s="1"/>
  <c r="H109" i="23" s="1"/>
  <c r="I109" i="23" s="1"/>
  <c r="J109" i="23" s="1"/>
  <c r="K109" i="23" s="1"/>
  <c r="L109" i="23" s="1"/>
  <c r="M109" i="23" s="1"/>
  <c r="F110" i="23"/>
  <c r="G110" i="23" s="1"/>
  <c r="H110" i="23" s="1"/>
  <c r="I110" i="23" s="1"/>
  <c r="J110" i="23" s="1"/>
  <c r="K110" i="23" s="1"/>
  <c r="L110" i="23" s="1"/>
  <c r="M110" i="23" s="1"/>
  <c r="F111" i="23"/>
  <c r="G111" i="23" s="1"/>
  <c r="H111" i="23" s="1"/>
  <c r="I111" i="23" s="1"/>
  <c r="J111" i="23" s="1"/>
  <c r="K111" i="23" s="1"/>
  <c r="L111" i="23" s="1"/>
  <c r="M111" i="23" s="1"/>
  <c r="F112" i="23"/>
  <c r="G112" i="23" s="1"/>
  <c r="H112" i="23" s="1"/>
  <c r="I112" i="23" s="1"/>
  <c r="J112" i="23" s="1"/>
  <c r="K112" i="23" s="1"/>
  <c r="L112" i="23" s="1"/>
  <c r="M112" i="23" s="1"/>
  <c r="F113" i="23"/>
  <c r="G113" i="23" s="1"/>
  <c r="H113" i="23" s="1"/>
  <c r="I113" i="23" s="1"/>
  <c r="J113" i="23" s="1"/>
  <c r="K113" i="23" s="1"/>
  <c r="L113" i="23" s="1"/>
  <c r="M113" i="23" s="1"/>
  <c r="F114" i="23"/>
  <c r="G114" i="23" s="1"/>
  <c r="H114" i="23" s="1"/>
  <c r="I114" i="23" s="1"/>
  <c r="J114" i="23" s="1"/>
  <c r="K114" i="23" s="1"/>
  <c r="L114" i="23" s="1"/>
  <c r="M114" i="23" s="1"/>
  <c r="F115" i="23"/>
  <c r="G115" i="23" s="1"/>
  <c r="H115" i="23" s="1"/>
  <c r="I115" i="23" s="1"/>
  <c r="J115" i="23" s="1"/>
  <c r="K115" i="23" s="1"/>
  <c r="L115" i="23" s="1"/>
  <c r="M115" i="23" s="1"/>
  <c r="F116" i="23"/>
  <c r="G116" i="23" s="1"/>
  <c r="H116" i="23" s="1"/>
  <c r="I116" i="23" s="1"/>
  <c r="J116" i="23" s="1"/>
  <c r="K116" i="23" s="1"/>
  <c r="L116" i="23" s="1"/>
  <c r="M116" i="23" s="1"/>
  <c r="F117" i="23"/>
  <c r="G117" i="23" s="1"/>
  <c r="H117" i="23" s="1"/>
  <c r="I117" i="23" s="1"/>
  <c r="J117" i="23" s="1"/>
  <c r="K117" i="23" s="1"/>
  <c r="L117" i="23" s="1"/>
  <c r="M117" i="23" s="1"/>
  <c r="F118" i="23"/>
  <c r="G118" i="23" s="1"/>
  <c r="H118" i="23" s="1"/>
  <c r="I118" i="23" s="1"/>
  <c r="J118" i="23" s="1"/>
  <c r="K118" i="23" s="1"/>
  <c r="L118" i="23" s="1"/>
  <c r="M118" i="23" s="1"/>
  <c r="F119" i="23"/>
  <c r="G119" i="23" s="1"/>
  <c r="H119" i="23" s="1"/>
  <c r="I119" i="23" s="1"/>
  <c r="J119" i="23" s="1"/>
  <c r="K119" i="23" s="1"/>
  <c r="L119" i="23" s="1"/>
  <c r="M119" i="23" s="1"/>
  <c r="F120" i="23"/>
  <c r="G120" i="23" s="1"/>
  <c r="H120" i="23" s="1"/>
  <c r="I120" i="23" s="1"/>
  <c r="J120" i="23" s="1"/>
  <c r="K120" i="23" s="1"/>
  <c r="L120" i="23" s="1"/>
  <c r="M120" i="23" s="1"/>
  <c r="F121" i="23"/>
  <c r="G121" i="23" s="1"/>
  <c r="H121" i="23" s="1"/>
  <c r="I121" i="23" s="1"/>
  <c r="J121" i="23" s="1"/>
  <c r="K121" i="23" s="1"/>
  <c r="L121" i="23" s="1"/>
  <c r="M121" i="23" s="1"/>
  <c r="F122" i="23"/>
  <c r="G122" i="23" s="1"/>
  <c r="H122" i="23" s="1"/>
  <c r="I122" i="23" s="1"/>
  <c r="J122" i="23" s="1"/>
  <c r="K122" i="23" s="1"/>
  <c r="L122" i="23" s="1"/>
  <c r="M122" i="23" s="1"/>
  <c r="F123" i="23"/>
  <c r="G123" i="23" s="1"/>
  <c r="H123" i="23" s="1"/>
  <c r="I123" i="23" s="1"/>
  <c r="J123" i="23" s="1"/>
  <c r="K123" i="23" s="1"/>
  <c r="L123" i="23" s="1"/>
  <c r="M123" i="23" s="1"/>
  <c r="F124" i="23"/>
  <c r="G124" i="23" s="1"/>
  <c r="H124" i="23" s="1"/>
  <c r="I124" i="23" s="1"/>
  <c r="J124" i="23" s="1"/>
  <c r="K124" i="23" s="1"/>
  <c r="L124" i="23" s="1"/>
  <c r="M124" i="23" s="1"/>
  <c r="F125" i="23"/>
  <c r="G125" i="23" s="1"/>
  <c r="H125" i="23" s="1"/>
  <c r="I125" i="23" s="1"/>
  <c r="J125" i="23" s="1"/>
  <c r="K125" i="23" s="1"/>
  <c r="L125" i="23" s="1"/>
  <c r="M125" i="23" s="1"/>
  <c r="F126" i="23"/>
  <c r="G126" i="23" s="1"/>
  <c r="H126" i="23" s="1"/>
  <c r="I126" i="23" s="1"/>
  <c r="J126" i="23" s="1"/>
  <c r="K126" i="23" s="1"/>
  <c r="L126" i="23" s="1"/>
  <c r="M126" i="23" s="1"/>
  <c r="F127" i="23"/>
  <c r="G127" i="23" s="1"/>
  <c r="H127" i="23" s="1"/>
  <c r="I127" i="23" s="1"/>
  <c r="J127" i="23" s="1"/>
  <c r="K127" i="23" s="1"/>
  <c r="L127" i="23" s="1"/>
  <c r="M127" i="23" s="1"/>
  <c r="F128" i="23"/>
  <c r="G128" i="23" s="1"/>
  <c r="H128" i="23" s="1"/>
  <c r="I128" i="23" s="1"/>
  <c r="J128" i="23" s="1"/>
  <c r="K128" i="23" s="1"/>
  <c r="L128" i="23" s="1"/>
  <c r="M128" i="23" s="1"/>
  <c r="F129" i="23"/>
  <c r="G129" i="23" s="1"/>
  <c r="H129" i="23" s="1"/>
  <c r="I129" i="23" s="1"/>
  <c r="J129" i="23" s="1"/>
  <c r="K129" i="23" s="1"/>
  <c r="L129" i="23" s="1"/>
  <c r="M129" i="23" s="1"/>
  <c r="F130" i="23"/>
  <c r="G130" i="23" s="1"/>
  <c r="H130" i="23" s="1"/>
  <c r="I130" i="23" s="1"/>
  <c r="J130" i="23" s="1"/>
  <c r="K130" i="23" s="1"/>
  <c r="L130" i="23" s="1"/>
  <c r="M130" i="23" s="1"/>
  <c r="F131" i="23"/>
  <c r="G131" i="23" s="1"/>
  <c r="H131" i="23" s="1"/>
  <c r="I131" i="23" s="1"/>
  <c r="J131" i="23" s="1"/>
  <c r="K131" i="23" s="1"/>
  <c r="L131" i="23" s="1"/>
  <c r="M131" i="23" s="1"/>
  <c r="F132" i="23"/>
  <c r="G132" i="23" s="1"/>
  <c r="H132" i="23" s="1"/>
  <c r="I132" i="23" s="1"/>
  <c r="J132" i="23" s="1"/>
  <c r="K132" i="23" s="1"/>
  <c r="L132" i="23" s="1"/>
  <c r="M132" i="23" s="1"/>
  <c r="F133" i="23"/>
  <c r="G133" i="23" s="1"/>
  <c r="H133" i="23" s="1"/>
  <c r="I133" i="23" s="1"/>
  <c r="J133" i="23" s="1"/>
  <c r="K133" i="23" s="1"/>
  <c r="L133" i="23" s="1"/>
  <c r="M133" i="23" s="1"/>
  <c r="F90" i="23"/>
  <c r="G90" i="23" s="1"/>
  <c r="H90" i="23" s="1"/>
  <c r="I90" i="23" s="1"/>
  <c r="J90" i="23" s="1"/>
  <c r="K90" i="23" s="1"/>
  <c r="L90" i="23" s="1"/>
  <c r="M90" i="23" s="1"/>
  <c r="F73" i="23"/>
  <c r="G73" i="23" s="1"/>
  <c r="H73" i="23" s="1"/>
  <c r="I73" i="23" s="1"/>
  <c r="J73" i="23" s="1"/>
  <c r="K73" i="23" s="1"/>
  <c r="L73" i="23" s="1"/>
  <c r="M73" i="23" s="1"/>
  <c r="F74" i="23"/>
  <c r="G74" i="23" s="1"/>
  <c r="H74" i="23" s="1"/>
  <c r="I74" i="23" s="1"/>
  <c r="J74" i="23" s="1"/>
  <c r="K74" i="23" s="1"/>
  <c r="L74" i="23" s="1"/>
  <c r="M74" i="23" s="1"/>
  <c r="F75" i="23"/>
  <c r="G75" i="23" s="1"/>
  <c r="H75" i="23" s="1"/>
  <c r="I75" i="23" s="1"/>
  <c r="J75" i="23" s="1"/>
  <c r="K75" i="23" s="1"/>
  <c r="L75" i="23" s="1"/>
  <c r="M75" i="23" s="1"/>
  <c r="F76" i="23"/>
  <c r="G76" i="23" s="1"/>
  <c r="H76" i="23" s="1"/>
  <c r="I76" i="23" s="1"/>
  <c r="J76" i="23" s="1"/>
  <c r="K76" i="23" s="1"/>
  <c r="L76" i="23" s="1"/>
  <c r="M76" i="23" s="1"/>
  <c r="F77" i="23"/>
  <c r="G77" i="23" s="1"/>
  <c r="H77" i="23" s="1"/>
  <c r="I77" i="23" s="1"/>
  <c r="J77" i="23" s="1"/>
  <c r="K77" i="23" s="1"/>
  <c r="L77" i="23" s="1"/>
  <c r="M77" i="23" s="1"/>
  <c r="F78" i="23"/>
  <c r="G78" i="23" s="1"/>
  <c r="H78" i="23" s="1"/>
  <c r="I78" i="23" s="1"/>
  <c r="J78" i="23" s="1"/>
  <c r="K78" i="23" s="1"/>
  <c r="L78" i="23" s="1"/>
  <c r="M78" i="23" s="1"/>
  <c r="F79" i="23"/>
  <c r="G79" i="23" s="1"/>
  <c r="H79" i="23" s="1"/>
  <c r="I79" i="23" s="1"/>
  <c r="J79" i="23" s="1"/>
  <c r="K79" i="23" s="1"/>
  <c r="L79" i="23" s="1"/>
  <c r="M79" i="23" s="1"/>
  <c r="F80" i="23"/>
  <c r="G80" i="23" s="1"/>
  <c r="H80" i="23" s="1"/>
  <c r="I80" i="23" s="1"/>
  <c r="J80" i="23" s="1"/>
  <c r="K80" i="23" s="1"/>
  <c r="L80" i="23" s="1"/>
  <c r="M80" i="23" s="1"/>
  <c r="F81" i="23"/>
  <c r="G81" i="23" s="1"/>
  <c r="H81" i="23" s="1"/>
  <c r="I81" i="23" s="1"/>
  <c r="J81" i="23" s="1"/>
  <c r="K81" i="23" s="1"/>
  <c r="L81" i="23" s="1"/>
  <c r="M81" i="23" s="1"/>
  <c r="F82" i="23"/>
  <c r="G82" i="23" s="1"/>
  <c r="H82" i="23" s="1"/>
  <c r="I82" i="23" s="1"/>
  <c r="J82" i="23" s="1"/>
  <c r="K82" i="23" s="1"/>
  <c r="L82" i="23" s="1"/>
  <c r="M82" i="23" s="1"/>
  <c r="F83" i="23"/>
  <c r="G83" i="23" s="1"/>
  <c r="H83" i="23" s="1"/>
  <c r="I83" i="23" s="1"/>
  <c r="J83" i="23" s="1"/>
  <c r="K83" i="23" s="1"/>
  <c r="L83" i="23" s="1"/>
  <c r="M83" i="23" s="1"/>
  <c r="F84" i="23"/>
  <c r="G84" i="23" s="1"/>
  <c r="H84" i="23" s="1"/>
  <c r="I84" i="23" s="1"/>
  <c r="J84" i="23" s="1"/>
  <c r="K84" i="23" s="1"/>
  <c r="L84" i="23" s="1"/>
  <c r="M84" i="23" s="1"/>
  <c r="F85" i="23"/>
  <c r="G85" i="23" s="1"/>
  <c r="H85" i="23" s="1"/>
  <c r="I85" i="23" s="1"/>
  <c r="J85" i="23" s="1"/>
  <c r="K85" i="23" s="1"/>
  <c r="L85" i="23" s="1"/>
  <c r="M85" i="23" s="1"/>
  <c r="F86" i="23"/>
  <c r="G86" i="23" s="1"/>
  <c r="H86" i="23" s="1"/>
  <c r="I86" i="23" s="1"/>
  <c r="J86" i="23" s="1"/>
  <c r="K86" i="23" s="1"/>
  <c r="L86" i="23" s="1"/>
  <c r="M86" i="23" s="1"/>
  <c r="F87" i="23"/>
  <c r="G87" i="23" s="1"/>
  <c r="H87" i="23" s="1"/>
  <c r="I87" i="23" s="1"/>
  <c r="J87" i="23" s="1"/>
  <c r="K87" i="23" s="1"/>
  <c r="L87" i="23" s="1"/>
  <c r="M87" i="23" s="1"/>
  <c r="F72" i="23"/>
  <c r="G72" i="23" s="1"/>
  <c r="H72" i="23" s="1"/>
  <c r="I72" i="23" s="1"/>
  <c r="J72" i="23" s="1"/>
  <c r="K72" i="23" s="1"/>
  <c r="L72" i="23" s="1"/>
  <c r="M72" i="23" s="1"/>
  <c r="F58" i="23"/>
  <c r="G58" i="23" s="1"/>
  <c r="H58" i="23" s="1"/>
  <c r="I58" i="23" s="1"/>
  <c r="F61" i="23"/>
  <c r="G61" i="23" s="1"/>
  <c r="H61" i="23" s="1"/>
  <c r="I61" i="23" s="1"/>
  <c r="J61" i="23" s="1"/>
  <c r="K61" i="23" s="1"/>
  <c r="L61" i="23" s="1"/>
  <c r="M61" i="23" s="1"/>
  <c r="F62" i="23"/>
  <c r="G62" i="23" s="1"/>
  <c r="H62" i="23" s="1"/>
  <c r="I62" i="23" s="1"/>
  <c r="J62" i="23" s="1"/>
  <c r="K62" i="23" s="1"/>
  <c r="L62" i="23" s="1"/>
  <c r="M62" i="23" s="1"/>
  <c r="F41" i="23"/>
  <c r="G41" i="23" s="1"/>
  <c r="H41" i="23" s="1"/>
  <c r="I41" i="23" s="1"/>
  <c r="J41" i="23" s="1"/>
  <c r="K41" i="23" s="1"/>
  <c r="L41" i="23" s="1"/>
  <c r="M41" i="23" s="1"/>
  <c r="F43" i="23"/>
  <c r="G43" i="23" s="1"/>
  <c r="H43" i="23" s="1"/>
  <c r="I43" i="23" s="1"/>
  <c r="J43" i="23" s="1"/>
  <c r="K43" i="23" s="1"/>
  <c r="L43" i="23" s="1"/>
  <c r="M43" i="23" s="1"/>
  <c r="F46" i="23"/>
  <c r="G46" i="23" s="1"/>
  <c r="H46" i="23" s="1"/>
  <c r="I46" i="23" s="1"/>
  <c r="J46" i="23" s="1"/>
  <c r="K46" i="23" s="1"/>
  <c r="L46" i="23" s="1"/>
  <c r="M46" i="23" s="1"/>
  <c r="F47" i="23"/>
  <c r="G47" i="23" s="1"/>
  <c r="H47" i="23" s="1"/>
  <c r="I47" i="23" s="1"/>
  <c r="J47" i="23" s="1"/>
  <c r="K47" i="23" s="1"/>
  <c r="L47" i="23" s="1"/>
  <c r="M47" i="23" s="1"/>
  <c r="F48" i="23"/>
  <c r="G48" i="23" s="1"/>
  <c r="H48" i="23" s="1"/>
  <c r="I48" i="23" s="1"/>
  <c r="J48" i="23" s="1"/>
  <c r="K48" i="23" s="1"/>
  <c r="L48" i="23" s="1"/>
  <c r="M48" i="23" s="1"/>
  <c r="F50" i="23"/>
  <c r="G50" i="23" s="1"/>
  <c r="H50" i="23" s="1"/>
  <c r="I50" i="23" s="1"/>
  <c r="J50" i="23" s="1"/>
  <c r="K50" i="23" s="1"/>
  <c r="L50" i="23" s="1"/>
  <c r="M50" i="23" s="1"/>
  <c r="F51" i="23"/>
  <c r="G51" i="23" s="1"/>
  <c r="H51" i="23" s="1"/>
  <c r="I51" i="23" s="1"/>
  <c r="J51" i="23" s="1"/>
  <c r="K51" i="23" s="1"/>
  <c r="L51" i="23" s="1"/>
  <c r="M51" i="23" s="1"/>
  <c r="F52" i="23"/>
  <c r="G52" i="23" s="1"/>
  <c r="H52" i="23" s="1"/>
  <c r="I52" i="23" s="1"/>
  <c r="J52" i="23" s="1"/>
  <c r="K52" i="23" s="1"/>
  <c r="L52" i="23" s="1"/>
  <c r="M52" i="23" s="1"/>
  <c r="F53" i="23"/>
  <c r="G53" i="23" s="1"/>
  <c r="H53" i="23" s="1"/>
  <c r="I53" i="23" s="1"/>
  <c r="J53" i="23" s="1"/>
  <c r="K53" i="23" s="1"/>
  <c r="L53" i="23" s="1"/>
  <c r="M53" i="23" s="1"/>
  <c r="F54" i="23"/>
  <c r="G54" i="23" s="1"/>
  <c r="H54" i="23" s="1"/>
  <c r="I54" i="23" s="1"/>
  <c r="J54" i="23" s="1"/>
  <c r="K54" i="23" s="1"/>
  <c r="L54" i="23" s="1"/>
  <c r="M54" i="23" s="1"/>
  <c r="F31" i="23"/>
  <c r="G31" i="23" s="1"/>
  <c r="H31" i="23" s="1"/>
  <c r="I31" i="23" s="1"/>
  <c r="J31" i="23" s="1"/>
  <c r="K31" i="23" s="1"/>
  <c r="L31" i="23" s="1"/>
  <c r="M31" i="23" s="1"/>
  <c r="F32" i="23"/>
  <c r="G32" i="23" s="1"/>
  <c r="H32" i="23" s="1"/>
  <c r="I32" i="23" s="1"/>
  <c r="J32" i="23" s="1"/>
  <c r="K32" i="23" s="1"/>
  <c r="F4" i="22"/>
  <c r="G4" i="22" s="1"/>
  <c r="H4" i="22" s="1"/>
  <c r="I4" i="22" s="1"/>
  <c r="J4" i="22" s="1"/>
  <c r="K4" i="22" s="1"/>
  <c r="L4" i="22" s="1"/>
  <c r="M4" i="22" s="1"/>
  <c r="F5" i="22"/>
  <c r="G5" i="22" s="1"/>
  <c r="H5" i="22" s="1"/>
  <c r="I5" i="22" s="1"/>
  <c r="J5" i="22" s="1"/>
  <c r="K5" i="22" s="1"/>
  <c r="L5" i="22" s="1"/>
  <c r="M5" i="22" s="1"/>
  <c r="F6" i="22"/>
  <c r="G6" i="22" s="1"/>
  <c r="H6" i="22" s="1"/>
  <c r="I6" i="22" s="1"/>
  <c r="J6" i="22" s="1"/>
  <c r="K6" i="22" s="1"/>
  <c r="L6" i="22" s="1"/>
  <c r="M6" i="22" s="1"/>
  <c r="F7" i="22"/>
  <c r="G7" i="22" s="1"/>
  <c r="H7" i="22" s="1"/>
  <c r="I7" i="22" s="1"/>
  <c r="J7" i="22" s="1"/>
  <c r="K7" i="22" s="1"/>
  <c r="L7" i="22" s="1"/>
  <c r="M7" i="22" s="1"/>
  <c r="F8" i="22"/>
  <c r="G8" i="22" s="1"/>
  <c r="H8" i="22" s="1"/>
  <c r="I8" i="22" s="1"/>
  <c r="J8" i="22" s="1"/>
  <c r="K8" i="22" s="1"/>
  <c r="L8" i="22" s="1"/>
  <c r="M8" i="22" s="1"/>
  <c r="F9" i="22"/>
  <c r="G9" i="22" s="1"/>
  <c r="H9" i="22" s="1"/>
  <c r="I9" i="22" s="1"/>
  <c r="J9" i="22" s="1"/>
  <c r="K9" i="22" s="1"/>
  <c r="L9" i="22" s="1"/>
  <c r="M9" i="22" s="1"/>
  <c r="F10" i="22"/>
  <c r="G10" i="22" s="1"/>
  <c r="H10" i="22" s="1"/>
  <c r="I10" i="22" s="1"/>
  <c r="J10" i="22" s="1"/>
  <c r="K10" i="22" s="1"/>
  <c r="L10" i="22" s="1"/>
  <c r="M10" i="22" s="1"/>
  <c r="F11" i="22"/>
  <c r="G11" i="22" s="1"/>
  <c r="H11" i="22" s="1"/>
  <c r="I11" i="22" s="1"/>
  <c r="J11" i="22" s="1"/>
  <c r="K11" i="22" s="1"/>
  <c r="L11" i="22" s="1"/>
  <c r="M11" i="22" s="1"/>
  <c r="F12" i="22"/>
  <c r="G12" i="22" s="1"/>
  <c r="H12" i="22" s="1"/>
  <c r="I12" i="22" s="1"/>
  <c r="J12" i="22" s="1"/>
  <c r="K12" i="22" s="1"/>
  <c r="L12" i="22" s="1"/>
  <c r="M12" i="22" s="1"/>
  <c r="F13" i="22"/>
  <c r="G13" i="22" s="1"/>
  <c r="H13" i="22" s="1"/>
  <c r="I13" i="22" s="1"/>
  <c r="J13" i="22" s="1"/>
  <c r="K13" i="22" s="1"/>
  <c r="L13" i="22" s="1"/>
  <c r="M13" i="22" s="1"/>
  <c r="F15" i="22"/>
  <c r="G15" i="22" s="1"/>
  <c r="H15" i="22" s="1"/>
  <c r="I15" i="22" s="1"/>
  <c r="J15" i="22" s="1"/>
  <c r="K15" i="22" s="1"/>
  <c r="L15" i="22" s="1"/>
  <c r="M15" i="22" s="1"/>
  <c r="F16" i="22"/>
  <c r="G16" i="22" s="1"/>
  <c r="H16" i="22" s="1"/>
  <c r="I16" i="22" s="1"/>
  <c r="J16" i="22" s="1"/>
  <c r="K16" i="22" s="1"/>
  <c r="L16" i="22" s="1"/>
  <c r="M16" i="22" s="1"/>
  <c r="F17" i="22"/>
  <c r="G17" i="22" s="1"/>
  <c r="H17" i="22" s="1"/>
  <c r="I17" i="22" s="1"/>
  <c r="J17" i="22" s="1"/>
  <c r="K17" i="22" s="1"/>
  <c r="L17" i="22" s="1"/>
  <c r="M17" i="22" s="1"/>
  <c r="F18" i="22"/>
  <c r="G18" i="22" s="1"/>
  <c r="H18" i="22" s="1"/>
  <c r="I18" i="22" s="1"/>
  <c r="J18" i="22" s="1"/>
  <c r="K18" i="22" s="1"/>
  <c r="L18" i="22" s="1"/>
  <c r="M18" i="22" s="1"/>
  <c r="F19" i="22"/>
  <c r="G19" i="22" s="1"/>
  <c r="H19" i="22" s="1"/>
  <c r="I19" i="22" s="1"/>
  <c r="J19" i="22" s="1"/>
  <c r="K19" i="22" s="1"/>
  <c r="L19" i="22" s="1"/>
  <c r="M19" i="22" s="1"/>
  <c r="F20" i="22"/>
  <c r="G20" i="22" s="1"/>
  <c r="H20" i="22" s="1"/>
  <c r="I20" i="22" s="1"/>
  <c r="J20" i="22" s="1"/>
  <c r="K20" i="22" s="1"/>
  <c r="L20" i="22" s="1"/>
  <c r="F21" i="22"/>
  <c r="G21" i="22" s="1"/>
  <c r="H21" i="22" s="1"/>
  <c r="I21" i="22" s="1"/>
  <c r="J21" i="22" s="1"/>
  <c r="K21" i="22" s="1"/>
  <c r="L21" i="22" s="1"/>
  <c r="M21" i="22" s="1"/>
  <c r="F22" i="22"/>
  <c r="G22" i="22" s="1"/>
  <c r="H22" i="22" s="1"/>
  <c r="I22" i="22" s="1"/>
  <c r="J22" i="22" s="1"/>
  <c r="K22" i="22" s="1"/>
  <c r="L22" i="22" s="1"/>
  <c r="M22" i="22" s="1"/>
  <c r="F3" i="22"/>
  <c r="G3" i="22" s="1"/>
  <c r="H3" i="22" s="1"/>
  <c r="I3" i="22" s="1"/>
  <c r="J3" i="22" s="1"/>
  <c r="K3" i="22" s="1"/>
  <c r="L3" i="22" s="1"/>
  <c r="M3" i="22" s="1"/>
  <c r="J23" i="21"/>
  <c r="K23" i="21" s="1"/>
  <c r="L23" i="21" s="1"/>
  <c r="M23" i="21" s="1"/>
  <c r="N23" i="21" s="1"/>
  <c r="O23" i="21" s="1"/>
  <c r="P23" i="21" s="1"/>
  <c r="Q23" i="21" s="1"/>
  <c r="J24" i="21"/>
  <c r="K24" i="21" s="1"/>
  <c r="L24" i="21" s="1"/>
  <c r="M24" i="21" s="1"/>
  <c r="N24" i="21" s="1"/>
  <c r="O24" i="21" s="1"/>
  <c r="P24" i="21" s="1"/>
  <c r="Q24" i="21" s="1"/>
  <c r="J25" i="21"/>
  <c r="K25" i="21" s="1"/>
  <c r="L25" i="21" s="1"/>
  <c r="M25" i="21" s="1"/>
  <c r="N25" i="21" s="1"/>
  <c r="O25" i="21" s="1"/>
  <c r="P25" i="21" s="1"/>
  <c r="Q25" i="21" s="1"/>
  <c r="J22" i="21"/>
  <c r="K22" i="21" s="1"/>
  <c r="L22" i="21" s="1"/>
  <c r="M22" i="21" s="1"/>
  <c r="N22" i="21" s="1"/>
  <c r="O22" i="21" s="1"/>
  <c r="P22" i="21" s="1"/>
  <c r="Q22" i="21" s="1"/>
  <c r="J18" i="21"/>
  <c r="K18" i="21" s="1"/>
  <c r="L18" i="21" s="1"/>
  <c r="M18" i="21" s="1"/>
  <c r="N18" i="21" s="1"/>
  <c r="O18" i="21" s="1"/>
  <c r="P18" i="21" s="1"/>
  <c r="Q18" i="21" s="1"/>
  <c r="J19" i="21"/>
  <c r="K19" i="21" s="1"/>
  <c r="L19" i="21" s="1"/>
  <c r="M19" i="21" s="1"/>
  <c r="N19" i="21" s="1"/>
  <c r="O19" i="21" s="1"/>
  <c r="P19" i="21" s="1"/>
  <c r="Q19" i="21" s="1"/>
  <c r="J20" i="21"/>
  <c r="K20" i="21" s="1"/>
  <c r="L20" i="21" s="1"/>
  <c r="M20" i="21" s="1"/>
  <c r="N20" i="21" s="1"/>
  <c r="O20" i="21" s="1"/>
  <c r="P20" i="21" s="1"/>
  <c r="Q20" i="21" s="1"/>
  <c r="J17" i="21"/>
  <c r="K17" i="21" s="1"/>
  <c r="L17" i="21" s="1"/>
  <c r="M17" i="21" s="1"/>
  <c r="N17" i="21" s="1"/>
  <c r="O17" i="21" s="1"/>
  <c r="P17" i="21" s="1"/>
  <c r="Q17" i="21" s="1"/>
  <c r="J14" i="21"/>
  <c r="K14" i="21" s="1"/>
  <c r="L14" i="21" s="1"/>
  <c r="M14" i="21" s="1"/>
  <c r="N14" i="21" s="1"/>
  <c r="O14" i="21" s="1"/>
  <c r="P14" i="21" s="1"/>
  <c r="Q14" i="21" s="1"/>
  <c r="J11" i="21"/>
  <c r="K11" i="21" s="1"/>
  <c r="L11" i="21" s="1"/>
  <c r="M11" i="21" s="1"/>
  <c r="N11" i="21" s="1"/>
  <c r="O11" i="21" s="1"/>
  <c r="P11" i="21" s="1"/>
  <c r="Q11" i="21" s="1"/>
  <c r="J9" i="21"/>
  <c r="K9" i="21" s="1"/>
  <c r="L9" i="21" s="1"/>
  <c r="M9" i="21" s="1"/>
  <c r="N9" i="21" s="1"/>
  <c r="O9" i="21" s="1"/>
  <c r="P9" i="21" s="1"/>
  <c r="Q9" i="21" s="1"/>
  <c r="J7" i="21"/>
  <c r="K7" i="21" s="1"/>
  <c r="L7" i="21" s="1"/>
  <c r="M7" i="21" s="1"/>
  <c r="N7" i="21" s="1"/>
  <c r="O7" i="21" s="1"/>
  <c r="P7" i="21" s="1"/>
  <c r="Q7" i="21" s="1"/>
  <c r="J6" i="21"/>
  <c r="K6" i="21" s="1"/>
  <c r="L6" i="21" s="1"/>
  <c r="M6" i="21" s="1"/>
  <c r="N6" i="21" s="1"/>
  <c r="O6" i="21" s="1"/>
  <c r="P6" i="21" s="1"/>
  <c r="Q6" i="21" s="1"/>
  <c r="J102" i="20"/>
  <c r="K102" i="20" s="1"/>
  <c r="L102" i="20" s="1"/>
  <c r="M102" i="20" s="1"/>
  <c r="N102" i="20" s="1"/>
  <c r="O102" i="20" s="1"/>
  <c r="P102" i="20" s="1"/>
  <c r="J103" i="20"/>
  <c r="K103" i="20" s="1"/>
  <c r="L103" i="20" s="1"/>
  <c r="M103" i="20" s="1"/>
  <c r="N103" i="20" s="1"/>
  <c r="O103" i="20" s="1"/>
  <c r="P103" i="20" s="1"/>
  <c r="J104" i="20"/>
  <c r="K104" i="20" s="1"/>
  <c r="L104" i="20" s="1"/>
  <c r="M104" i="20" s="1"/>
  <c r="N104" i="20" s="1"/>
  <c r="O104" i="20" s="1"/>
  <c r="P104" i="20" s="1"/>
  <c r="Q104" i="20" s="1"/>
  <c r="J105" i="20"/>
  <c r="K105" i="20" s="1"/>
  <c r="L105" i="20" s="1"/>
  <c r="M105" i="20" s="1"/>
  <c r="N105" i="20" s="1"/>
  <c r="O105" i="20" s="1"/>
  <c r="P105" i="20" s="1"/>
  <c r="J101" i="20"/>
  <c r="K101" i="20" s="1"/>
  <c r="L101" i="20" s="1"/>
  <c r="M101" i="20" s="1"/>
  <c r="N101" i="20" s="1"/>
  <c r="O101" i="20" s="1"/>
  <c r="P101" i="20" s="1"/>
  <c r="J91" i="20"/>
  <c r="K91" i="20" s="1"/>
  <c r="L91" i="20" s="1"/>
  <c r="M91" i="20" s="1"/>
  <c r="N91" i="20" s="1"/>
  <c r="O91" i="20" s="1"/>
  <c r="P91" i="20" s="1"/>
  <c r="Q91" i="20" s="1"/>
  <c r="J92" i="20"/>
  <c r="K92" i="20" s="1"/>
  <c r="L92" i="20" s="1"/>
  <c r="M92" i="20" s="1"/>
  <c r="N92" i="20" s="1"/>
  <c r="O92" i="20" s="1"/>
  <c r="P92" i="20" s="1"/>
  <c r="Q92" i="20" s="1"/>
  <c r="J93" i="20"/>
  <c r="K93" i="20" s="1"/>
  <c r="L93" i="20" s="1"/>
  <c r="M93" i="20" s="1"/>
  <c r="N93" i="20" s="1"/>
  <c r="O93" i="20" s="1"/>
  <c r="P93" i="20" s="1"/>
  <c r="Q93" i="20" s="1"/>
  <c r="J94" i="20"/>
  <c r="K94" i="20" s="1"/>
  <c r="L94" i="20" s="1"/>
  <c r="M94" i="20" s="1"/>
  <c r="N94" i="20" s="1"/>
  <c r="O94" i="20" s="1"/>
  <c r="P94" i="20" s="1"/>
  <c r="Q94" i="20" s="1"/>
  <c r="J90" i="20"/>
  <c r="K90" i="20" s="1"/>
  <c r="L90" i="20" s="1"/>
  <c r="M90" i="20" s="1"/>
  <c r="N90" i="20" s="1"/>
  <c r="O90" i="20" s="1"/>
  <c r="P90" i="20" s="1"/>
  <c r="Q90" i="20" s="1"/>
  <c r="J43" i="20"/>
  <c r="K43" i="20" s="1"/>
  <c r="L43" i="20" s="1"/>
  <c r="M43" i="20" s="1"/>
  <c r="N43" i="20" s="1"/>
  <c r="O43" i="20" s="1"/>
  <c r="P43" i="20" s="1"/>
  <c r="Q43" i="20" s="1"/>
  <c r="J44" i="20"/>
  <c r="K44" i="20" s="1"/>
  <c r="L44" i="20" s="1"/>
  <c r="M44" i="20" s="1"/>
  <c r="N44" i="20" s="1"/>
  <c r="O44" i="20" s="1"/>
  <c r="P44" i="20" s="1"/>
  <c r="Q44" i="20" s="1"/>
  <c r="J45" i="20"/>
  <c r="K45" i="20" s="1"/>
  <c r="L45" i="20" s="1"/>
  <c r="M45" i="20" s="1"/>
  <c r="N45" i="20" s="1"/>
  <c r="O45" i="20" s="1"/>
  <c r="P45" i="20" s="1"/>
  <c r="Q45" i="20" s="1"/>
  <c r="J46" i="20"/>
  <c r="K46" i="20" s="1"/>
  <c r="L46" i="20" s="1"/>
  <c r="M46" i="20" s="1"/>
  <c r="N46" i="20" s="1"/>
  <c r="O46" i="20" s="1"/>
  <c r="P46" i="20" s="1"/>
  <c r="Q46" i="20" s="1"/>
  <c r="J47" i="20"/>
  <c r="K47" i="20" s="1"/>
  <c r="L47" i="20" s="1"/>
  <c r="M47" i="20" s="1"/>
  <c r="N47" i="20" s="1"/>
  <c r="O47" i="20" s="1"/>
  <c r="P47" i="20" s="1"/>
  <c r="Q47" i="20" s="1"/>
  <c r="J48" i="20"/>
  <c r="K48" i="20" s="1"/>
  <c r="L48" i="20" s="1"/>
  <c r="M48" i="20" s="1"/>
  <c r="N48" i="20" s="1"/>
  <c r="O48" i="20" s="1"/>
  <c r="P48" i="20" s="1"/>
  <c r="Q48" i="20" s="1"/>
  <c r="J49" i="20"/>
  <c r="K49" i="20" s="1"/>
  <c r="L49" i="20" s="1"/>
  <c r="M49" i="20" s="1"/>
  <c r="N49" i="20" s="1"/>
  <c r="O49" i="20" s="1"/>
  <c r="P49" i="20" s="1"/>
  <c r="Q49" i="20" s="1"/>
  <c r="J50" i="20"/>
  <c r="K50" i="20" s="1"/>
  <c r="L50" i="20" s="1"/>
  <c r="M50" i="20" s="1"/>
  <c r="N50" i="20" s="1"/>
  <c r="O50" i="20" s="1"/>
  <c r="P50" i="20" s="1"/>
  <c r="Q50" i="20" s="1"/>
  <c r="J51" i="20"/>
  <c r="K51" i="20" s="1"/>
  <c r="L51" i="20" s="1"/>
  <c r="M51" i="20" s="1"/>
  <c r="N51" i="20" s="1"/>
  <c r="O51" i="20" s="1"/>
  <c r="P51" i="20" s="1"/>
  <c r="Q51" i="20" s="1"/>
  <c r="J52" i="20"/>
  <c r="K52" i="20" s="1"/>
  <c r="L52" i="20" s="1"/>
  <c r="M52" i="20" s="1"/>
  <c r="N52" i="20" s="1"/>
  <c r="O52" i="20" s="1"/>
  <c r="P52" i="20" s="1"/>
  <c r="Q52" i="20" s="1"/>
  <c r="J53" i="20"/>
  <c r="K53" i="20" s="1"/>
  <c r="L53" i="20" s="1"/>
  <c r="M53" i="20" s="1"/>
  <c r="N53" i="20" s="1"/>
  <c r="O53" i="20" s="1"/>
  <c r="P53" i="20" s="1"/>
  <c r="Q53" i="20" s="1"/>
  <c r="J54" i="20"/>
  <c r="K54" i="20" s="1"/>
  <c r="L54" i="20" s="1"/>
  <c r="M54" i="20" s="1"/>
  <c r="N54" i="20" s="1"/>
  <c r="O54" i="20" s="1"/>
  <c r="P54" i="20" s="1"/>
  <c r="Q54" i="20" s="1"/>
  <c r="J55" i="20"/>
  <c r="K55" i="20" s="1"/>
  <c r="L55" i="20" s="1"/>
  <c r="M55" i="20" s="1"/>
  <c r="N55" i="20" s="1"/>
  <c r="O55" i="20" s="1"/>
  <c r="P55" i="20" s="1"/>
  <c r="Q55" i="20" s="1"/>
  <c r="J56" i="20"/>
  <c r="K56" i="20" s="1"/>
  <c r="L56" i="20" s="1"/>
  <c r="M56" i="20" s="1"/>
  <c r="N56" i="20" s="1"/>
  <c r="O56" i="20" s="1"/>
  <c r="P56" i="20" s="1"/>
  <c r="Q56" i="20" s="1"/>
  <c r="J57" i="20"/>
  <c r="K57" i="20" s="1"/>
  <c r="L57" i="20" s="1"/>
  <c r="M57" i="20" s="1"/>
  <c r="N57" i="20" s="1"/>
  <c r="O57" i="20" s="1"/>
  <c r="P57" i="20" s="1"/>
  <c r="Q57" i="20" s="1"/>
  <c r="J58" i="20"/>
  <c r="K58" i="20" s="1"/>
  <c r="L58" i="20" s="1"/>
  <c r="M58" i="20" s="1"/>
  <c r="N58" i="20" s="1"/>
  <c r="O58" i="20" s="1"/>
  <c r="P58" i="20" s="1"/>
  <c r="Q58" i="20" s="1"/>
  <c r="J59" i="20"/>
  <c r="K59" i="20" s="1"/>
  <c r="L59" i="20" s="1"/>
  <c r="M59" i="20" s="1"/>
  <c r="N59" i="20" s="1"/>
  <c r="O59" i="20" s="1"/>
  <c r="P59" i="20" s="1"/>
  <c r="Q59" i="20" s="1"/>
  <c r="J60" i="20"/>
  <c r="K60" i="20" s="1"/>
  <c r="L60" i="20" s="1"/>
  <c r="M60" i="20" s="1"/>
  <c r="N60" i="20" s="1"/>
  <c r="O60" i="20" s="1"/>
  <c r="P60" i="20" s="1"/>
  <c r="Q60" i="20" s="1"/>
  <c r="J61" i="20"/>
  <c r="K61" i="20" s="1"/>
  <c r="L61" i="20" s="1"/>
  <c r="M61" i="20" s="1"/>
  <c r="N61" i="20" s="1"/>
  <c r="O61" i="20" s="1"/>
  <c r="P61" i="20" s="1"/>
  <c r="Q61" i="20" s="1"/>
  <c r="J62" i="20"/>
  <c r="K62" i="20" s="1"/>
  <c r="L62" i="20" s="1"/>
  <c r="M62" i="20" s="1"/>
  <c r="N62" i="20" s="1"/>
  <c r="O62" i="20" s="1"/>
  <c r="P62" i="20" s="1"/>
  <c r="Q62" i="20" s="1"/>
  <c r="J63" i="20"/>
  <c r="K63" i="20" s="1"/>
  <c r="L63" i="20" s="1"/>
  <c r="M63" i="20" s="1"/>
  <c r="N63" i="20" s="1"/>
  <c r="O63" i="20" s="1"/>
  <c r="P63" i="20" s="1"/>
  <c r="Q63" i="20" s="1"/>
  <c r="J64" i="20"/>
  <c r="K64" i="20" s="1"/>
  <c r="L64" i="20" s="1"/>
  <c r="M64" i="20" s="1"/>
  <c r="N64" i="20" s="1"/>
  <c r="O64" i="20" s="1"/>
  <c r="P64" i="20" s="1"/>
  <c r="Q64" i="20" s="1"/>
  <c r="J65" i="20"/>
  <c r="K65" i="20" s="1"/>
  <c r="L65" i="20" s="1"/>
  <c r="M65" i="20" s="1"/>
  <c r="N65" i="20" s="1"/>
  <c r="O65" i="20" s="1"/>
  <c r="P65" i="20" s="1"/>
  <c r="Q65" i="20" s="1"/>
  <c r="J66" i="20"/>
  <c r="K66" i="20" s="1"/>
  <c r="L66" i="20" s="1"/>
  <c r="M66" i="20" s="1"/>
  <c r="N66" i="20" s="1"/>
  <c r="O66" i="20" s="1"/>
  <c r="P66" i="20" s="1"/>
  <c r="Q66" i="20" s="1"/>
  <c r="J67" i="20"/>
  <c r="K67" i="20" s="1"/>
  <c r="L67" i="20" s="1"/>
  <c r="M67" i="20" s="1"/>
  <c r="N67" i="20" s="1"/>
  <c r="O67" i="20" s="1"/>
  <c r="P67" i="20" s="1"/>
  <c r="Q67" i="20" s="1"/>
  <c r="J68" i="20"/>
  <c r="K68" i="20" s="1"/>
  <c r="L68" i="20" s="1"/>
  <c r="M68" i="20" s="1"/>
  <c r="N68" i="20" s="1"/>
  <c r="O68" i="20" s="1"/>
  <c r="P68" i="20" s="1"/>
  <c r="Q68" i="20" s="1"/>
  <c r="J69" i="20"/>
  <c r="K69" i="20" s="1"/>
  <c r="L69" i="20" s="1"/>
  <c r="M69" i="20" s="1"/>
  <c r="N69" i="20" s="1"/>
  <c r="O69" i="20" s="1"/>
  <c r="P69" i="20" s="1"/>
  <c r="Q69" i="20" s="1"/>
  <c r="J70" i="20"/>
  <c r="K70" i="20" s="1"/>
  <c r="L70" i="20" s="1"/>
  <c r="M70" i="20" s="1"/>
  <c r="N70" i="20" s="1"/>
  <c r="O70" i="20" s="1"/>
  <c r="P70" i="20" s="1"/>
  <c r="Q70" i="20" s="1"/>
  <c r="J71" i="20"/>
  <c r="K71" i="20" s="1"/>
  <c r="L71" i="20" s="1"/>
  <c r="M71" i="20" s="1"/>
  <c r="N71" i="20" s="1"/>
  <c r="O71" i="20" s="1"/>
  <c r="P71" i="20" s="1"/>
  <c r="Q71" i="20" s="1"/>
  <c r="J72" i="20"/>
  <c r="K72" i="20" s="1"/>
  <c r="L72" i="20" s="1"/>
  <c r="M72" i="20" s="1"/>
  <c r="N72" i="20" s="1"/>
  <c r="O72" i="20" s="1"/>
  <c r="P72" i="20" s="1"/>
  <c r="Q72" i="20" s="1"/>
  <c r="J73" i="20"/>
  <c r="K73" i="20" s="1"/>
  <c r="L73" i="20" s="1"/>
  <c r="M73" i="20" s="1"/>
  <c r="N73" i="20" s="1"/>
  <c r="O73" i="20" s="1"/>
  <c r="P73" i="20" s="1"/>
  <c r="Q73" i="20" s="1"/>
  <c r="J74" i="20"/>
  <c r="K74" i="20" s="1"/>
  <c r="L74" i="20" s="1"/>
  <c r="M74" i="20" s="1"/>
  <c r="N74" i="20" s="1"/>
  <c r="O74" i="20" s="1"/>
  <c r="P74" i="20" s="1"/>
  <c r="Q74" i="20" s="1"/>
  <c r="J75" i="20"/>
  <c r="K75" i="20" s="1"/>
  <c r="L75" i="20" s="1"/>
  <c r="M75" i="20" s="1"/>
  <c r="N75" i="20" s="1"/>
  <c r="O75" i="20" s="1"/>
  <c r="P75" i="20" s="1"/>
  <c r="Q75" i="20" s="1"/>
  <c r="J76" i="20"/>
  <c r="K76" i="20" s="1"/>
  <c r="L76" i="20" s="1"/>
  <c r="M76" i="20" s="1"/>
  <c r="N76" i="20" s="1"/>
  <c r="O76" i="20" s="1"/>
  <c r="P76" i="20" s="1"/>
  <c r="Q76" i="20" s="1"/>
  <c r="J78" i="20"/>
  <c r="K78" i="20" s="1"/>
  <c r="L78" i="20" s="1"/>
  <c r="M78" i="20" s="1"/>
  <c r="N78" i="20" s="1"/>
  <c r="J79" i="20"/>
  <c r="K79" i="20" s="1"/>
  <c r="L79" i="20" s="1"/>
  <c r="M79" i="20" s="1"/>
  <c r="N79" i="20" s="1"/>
  <c r="J80" i="20"/>
  <c r="K80" i="20" s="1"/>
  <c r="L80" i="20" s="1"/>
  <c r="M80" i="20" s="1"/>
  <c r="N80" i="20" s="1"/>
  <c r="J81" i="20"/>
  <c r="K81" i="20" s="1"/>
  <c r="L81" i="20" s="1"/>
  <c r="M81" i="20" s="1"/>
  <c r="N81" i="20" s="1"/>
  <c r="O81" i="20" s="1"/>
  <c r="P81" i="20" s="1"/>
  <c r="Q81" i="20" s="1"/>
  <c r="J82" i="20"/>
  <c r="K82" i="20" s="1"/>
  <c r="L82" i="20" s="1"/>
  <c r="M82" i="20" s="1"/>
  <c r="N82" i="20" s="1"/>
  <c r="O82" i="20" s="1"/>
  <c r="P82" i="20" s="1"/>
  <c r="Q82" i="20" s="1"/>
  <c r="J83" i="20"/>
  <c r="K83" i="20" s="1"/>
  <c r="L83" i="20" s="1"/>
  <c r="M83" i="20" s="1"/>
  <c r="N83" i="20" s="1"/>
  <c r="O83" i="20" s="1"/>
  <c r="P83" i="20" s="1"/>
  <c r="Q83" i="20" s="1"/>
  <c r="J84" i="20"/>
  <c r="K84" i="20" s="1"/>
  <c r="L84" i="20" s="1"/>
  <c r="M84" i="20" s="1"/>
  <c r="N84" i="20" s="1"/>
  <c r="J85" i="20"/>
  <c r="K85" i="20" s="1"/>
  <c r="L85" i="20" s="1"/>
  <c r="M85" i="20" s="1"/>
  <c r="N85" i="20" s="1"/>
  <c r="J87" i="20"/>
  <c r="K87" i="20" s="1"/>
  <c r="L87" i="20" s="1"/>
  <c r="M87" i="20" s="1"/>
  <c r="N87" i="20" s="1"/>
  <c r="O87" i="20" s="1"/>
  <c r="P87" i="20" s="1"/>
  <c r="Q87" i="20" s="1"/>
  <c r="J88" i="20"/>
  <c r="K88" i="20" s="1"/>
  <c r="L88" i="20" s="1"/>
  <c r="M88" i="20" s="1"/>
  <c r="N88" i="20" s="1"/>
  <c r="O88" i="20" s="1"/>
  <c r="P88" i="20" s="1"/>
  <c r="Q88" i="20" s="1"/>
  <c r="J42" i="20"/>
  <c r="K42" i="20" s="1"/>
  <c r="L42" i="20" s="1"/>
  <c r="M42" i="20" s="1"/>
  <c r="N42" i="20" s="1"/>
  <c r="O42" i="20" s="1"/>
  <c r="P42" i="20" s="1"/>
  <c r="Q42" i="20" s="1"/>
  <c r="J26" i="20"/>
  <c r="K26" i="20" s="1"/>
  <c r="L26" i="20" s="1"/>
  <c r="M26" i="20" s="1"/>
  <c r="N26" i="20" s="1"/>
  <c r="O26" i="20" s="1"/>
  <c r="P26" i="20" s="1"/>
  <c r="Q26" i="20" s="1"/>
  <c r="J27" i="20"/>
  <c r="K27" i="20" s="1"/>
  <c r="L27" i="20" s="1"/>
  <c r="M27" i="20" s="1"/>
  <c r="N27" i="20" s="1"/>
  <c r="O27" i="20" s="1"/>
  <c r="P27" i="20" s="1"/>
  <c r="Q27" i="20" s="1"/>
  <c r="J28" i="20"/>
  <c r="K28" i="20" s="1"/>
  <c r="L28" i="20" s="1"/>
  <c r="M28" i="20" s="1"/>
  <c r="N28" i="20" s="1"/>
  <c r="O28" i="20" s="1"/>
  <c r="P28" i="20" s="1"/>
  <c r="Q28" i="20" s="1"/>
  <c r="J29" i="20"/>
  <c r="K29" i="20" s="1"/>
  <c r="L29" i="20" s="1"/>
  <c r="M29" i="20" s="1"/>
  <c r="N29" i="20" s="1"/>
  <c r="O29" i="20" s="1"/>
  <c r="P29" i="20" s="1"/>
  <c r="Q29" i="20" s="1"/>
  <c r="J30" i="20"/>
  <c r="K30" i="20" s="1"/>
  <c r="L30" i="20" s="1"/>
  <c r="M30" i="20" s="1"/>
  <c r="N30" i="20" s="1"/>
  <c r="O30" i="20" s="1"/>
  <c r="P30" i="20" s="1"/>
  <c r="Q30" i="20" s="1"/>
  <c r="J31" i="20"/>
  <c r="K31" i="20" s="1"/>
  <c r="L31" i="20" s="1"/>
  <c r="M31" i="20" s="1"/>
  <c r="N31" i="20" s="1"/>
  <c r="O31" i="20" s="1"/>
  <c r="P31" i="20" s="1"/>
  <c r="Q31" i="20" s="1"/>
  <c r="J32" i="20"/>
  <c r="K32" i="20" s="1"/>
  <c r="L32" i="20" s="1"/>
  <c r="M32" i="20" s="1"/>
  <c r="N32" i="20" s="1"/>
  <c r="O32" i="20" s="1"/>
  <c r="P32" i="20" s="1"/>
  <c r="Q32" i="20" s="1"/>
  <c r="J33" i="20"/>
  <c r="K33" i="20" s="1"/>
  <c r="L33" i="20" s="1"/>
  <c r="M33" i="20" s="1"/>
  <c r="N33" i="20" s="1"/>
  <c r="O33" i="20" s="1"/>
  <c r="P33" i="20" s="1"/>
  <c r="Q33" i="20" s="1"/>
  <c r="J34" i="20"/>
  <c r="K34" i="20" s="1"/>
  <c r="L34" i="20" s="1"/>
  <c r="M34" i="20" s="1"/>
  <c r="N34" i="20" s="1"/>
  <c r="O34" i="20" s="1"/>
  <c r="P34" i="20" s="1"/>
  <c r="Q34" i="20" s="1"/>
  <c r="J35" i="20"/>
  <c r="K35" i="20" s="1"/>
  <c r="L35" i="20" s="1"/>
  <c r="M35" i="20" s="1"/>
  <c r="N35" i="20" s="1"/>
  <c r="O35" i="20" s="1"/>
  <c r="P35" i="20" s="1"/>
  <c r="Q35" i="20" s="1"/>
  <c r="J36" i="20"/>
  <c r="K36" i="20" s="1"/>
  <c r="L36" i="20" s="1"/>
  <c r="M36" i="20" s="1"/>
  <c r="N36" i="20" s="1"/>
  <c r="O36" i="20" s="1"/>
  <c r="P36" i="20" s="1"/>
  <c r="Q36" i="20" s="1"/>
  <c r="J37" i="20"/>
  <c r="K37" i="20" s="1"/>
  <c r="L37" i="20" s="1"/>
  <c r="M37" i="20" s="1"/>
  <c r="N37" i="20" s="1"/>
  <c r="O37" i="20" s="1"/>
  <c r="P37" i="20" s="1"/>
  <c r="Q37" i="20" s="1"/>
  <c r="J38" i="20"/>
  <c r="K38" i="20" s="1"/>
  <c r="L38" i="20" s="1"/>
  <c r="M38" i="20" s="1"/>
  <c r="N38" i="20" s="1"/>
  <c r="O38" i="20" s="1"/>
  <c r="P38" i="20" s="1"/>
  <c r="Q38" i="20" s="1"/>
  <c r="J39" i="20"/>
  <c r="K39" i="20" s="1"/>
  <c r="L39" i="20" s="1"/>
  <c r="M39" i="20" s="1"/>
  <c r="N39" i="20" s="1"/>
  <c r="O39" i="20" s="1"/>
  <c r="P39" i="20" s="1"/>
  <c r="Q39" i="20" s="1"/>
  <c r="J40" i="20"/>
  <c r="K40" i="20" s="1"/>
  <c r="L40" i="20" s="1"/>
  <c r="M40" i="20" s="1"/>
  <c r="N40" i="20" s="1"/>
  <c r="O40" i="20" s="1"/>
  <c r="P40" i="20" s="1"/>
  <c r="Q40" i="20" s="1"/>
  <c r="J22" i="20"/>
  <c r="K22" i="20" s="1"/>
  <c r="L22" i="20" s="1"/>
  <c r="M22" i="20" s="1"/>
  <c r="N22" i="20" s="1"/>
  <c r="O22" i="20" s="1"/>
  <c r="P22" i="20" s="1"/>
  <c r="Q22" i="20" s="1"/>
  <c r="J23" i="20"/>
  <c r="K23" i="20" s="1"/>
  <c r="L23" i="20" s="1"/>
  <c r="M23" i="20" s="1"/>
  <c r="N23" i="20" s="1"/>
  <c r="O23" i="20" s="1"/>
  <c r="P23" i="20" s="1"/>
  <c r="Q23" i="20" s="1"/>
  <c r="J24" i="20"/>
  <c r="K24" i="20" s="1"/>
  <c r="L24" i="20" s="1"/>
  <c r="M24" i="20" s="1"/>
  <c r="N24" i="20" s="1"/>
  <c r="O24" i="20" s="1"/>
  <c r="P24" i="20" s="1"/>
  <c r="Q24" i="20" s="1"/>
  <c r="J21" i="20"/>
  <c r="K21" i="20" s="1"/>
  <c r="L21" i="20" s="1"/>
  <c r="M21" i="20" s="1"/>
  <c r="N21" i="20" s="1"/>
  <c r="O21" i="20" s="1"/>
  <c r="P21" i="20" s="1"/>
  <c r="Q21" i="20" s="1"/>
  <c r="J16" i="20"/>
  <c r="K16" i="20" s="1"/>
  <c r="L16" i="20" s="1"/>
  <c r="M16" i="20" s="1"/>
  <c r="N16" i="20" s="1"/>
  <c r="O16" i="20" s="1"/>
  <c r="P16" i="20" s="1"/>
  <c r="Q16" i="20" s="1"/>
  <c r="J17" i="20"/>
  <c r="K17" i="20" s="1"/>
  <c r="L17" i="20" s="1"/>
  <c r="M17" i="20" s="1"/>
  <c r="N17" i="20" s="1"/>
  <c r="O17" i="20" s="1"/>
  <c r="P17" i="20" s="1"/>
  <c r="Q17" i="20" s="1"/>
  <c r="J18" i="20"/>
  <c r="K18" i="20" s="1"/>
  <c r="L18" i="20" s="1"/>
  <c r="M18" i="20" s="1"/>
  <c r="N18" i="20" s="1"/>
  <c r="O18" i="20" s="1"/>
  <c r="P18" i="20" s="1"/>
  <c r="Q18" i="20" s="1"/>
  <c r="J19" i="20"/>
  <c r="K19" i="20" s="1"/>
  <c r="L19" i="20" s="1"/>
  <c r="M19" i="20" s="1"/>
  <c r="N19" i="20" s="1"/>
  <c r="O19" i="20" s="1"/>
  <c r="P19" i="20" s="1"/>
  <c r="Q19" i="20" s="1"/>
  <c r="J15" i="20"/>
  <c r="K15" i="20" s="1"/>
  <c r="L15" i="20" s="1"/>
  <c r="M15" i="20" s="1"/>
  <c r="N15" i="20" s="1"/>
  <c r="O15" i="20" s="1"/>
  <c r="P15" i="20" s="1"/>
  <c r="Q15" i="20" s="1"/>
  <c r="J13" i="20"/>
  <c r="K13" i="20" s="1"/>
  <c r="L13" i="20" s="1"/>
  <c r="M13" i="20" s="1"/>
  <c r="N13" i="20" s="1"/>
  <c r="O13" i="20" s="1"/>
  <c r="P13" i="20" s="1"/>
  <c r="Q13" i="20" s="1"/>
  <c r="J12" i="20"/>
  <c r="K12" i="20" s="1"/>
  <c r="L12" i="20" s="1"/>
  <c r="M12" i="20" s="1"/>
  <c r="N12" i="20" s="1"/>
  <c r="O12" i="20" s="1"/>
  <c r="P12" i="20" s="1"/>
  <c r="Q12" i="20" s="1"/>
  <c r="J6" i="20"/>
  <c r="K6" i="20" s="1"/>
  <c r="L6" i="20" s="1"/>
  <c r="M6" i="20" s="1"/>
  <c r="N6" i="20" s="1"/>
  <c r="O6" i="20" s="1"/>
  <c r="P6" i="20" s="1"/>
  <c r="Q6" i="20" s="1"/>
  <c r="J7" i="20"/>
  <c r="K7" i="20" s="1"/>
  <c r="L7" i="20" s="1"/>
  <c r="M7" i="20" s="1"/>
  <c r="N7" i="20" s="1"/>
  <c r="O7" i="20" s="1"/>
  <c r="P7" i="20" s="1"/>
  <c r="Q7" i="20" s="1"/>
  <c r="J8" i="20"/>
  <c r="K8" i="20" s="1"/>
  <c r="L8" i="20" s="1"/>
  <c r="M8" i="20" s="1"/>
  <c r="N8" i="20" s="1"/>
  <c r="O8" i="20" s="1"/>
  <c r="P8" i="20" s="1"/>
  <c r="Q8" i="20" s="1"/>
  <c r="J9" i="20"/>
  <c r="K9" i="20" s="1"/>
  <c r="L9" i="20" s="1"/>
  <c r="M9" i="20" s="1"/>
  <c r="N9" i="20" s="1"/>
  <c r="O9" i="20" s="1"/>
  <c r="P9" i="20" s="1"/>
  <c r="Q9" i="20" s="1"/>
  <c r="J10" i="20"/>
  <c r="K10" i="20" s="1"/>
  <c r="L10" i="20" s="1"/>
  <c r="M10" i="20" s="1"/>
  <c r="N10" i="20" s="1"/>
  <c r="O10" i="20" s="1"/>
  <c r="P10" i="20" s="1"/>
  <c r="Q10" i="20" s="1"/>
  <c r="J5" i="20"/>
  <c r="K5" i="20" s="1"/>
  <c r="L5" i="20" s="1"/>
  <c r="M5" i="20" s="1"/>
  <c r="N5" i="20" s="1"/>
  <c r="O5" i="20" s="1"/>
  <c r="P5" i="20" s="1"/>
  <c r="Q5" i="20" s="1"/>
  <c r="J4" i="19"/>
  <c r="K4" i="19" s="1"/>
  <c r="L4" i="19" s="1"/>
  <c r="M4" i="19" s="1"/>
  <c r="N4" i="19" s="1"/>
  <c r="O4" i="19" s="1"/>
  <c r="P4" i="19" s="1"/>
  <c r="Q4" i="19" s="1"/>
  <c r="J5" i="19"/>
  <c r="K5" i="19" s="1"/>
  <c r="L5" i="19" s="1"/>
  <c r="M5" i="19" s="1"/>
  <c r="N5" i="19" s="1"/>
  <c r="O5" i="19" s="1"/>
  <c r="P5" i="19" s="1"/>
  <c r="Q5" i="19" s="1"/>
  <c r="J6" i="19"/>
  <c r="K6" i="19" s="1"/>
  <c r="L6" i="19" s="1"/>
  <c r="M6" i="19" s="1"/>
  <c r="N6" i="19" s="1"/>
  <c r="O6" i="19" s="1"/>
  <c r="P6" i="19" s="1"/>
  <c r="Q6" i="19" s="1"/>
  <c r="J7" i="19"/>
  <c r="K7" i="19" s="1"/>
  <c r="L7" i="19" s="1"/>
  <c r="M7" i="19" s="1"/>
  <c r="N7" i="19" s="1"/>
  <c r="O7" i="19" s="1"/>
  <c r="P7" i="19" s="1"/>
  <c r="Q7" i="19" s="1"/>
  <c r="J8" i="19"/>
  <c r="K8" i="19" s="1"/>
  <c r="L8" i="19" s="1"/>
  <c r="M8" i="19" s="1"/>
  <c r="N8" i="19" s="1"/>
  <c r="O8" i="19" s="1"/>
  <c r="P8" i="19" s="1"/>
  <c r="Q8" i="19" s="1"/>
  <c r="J9" i="19"/>
  <c r="K9" i="19" s="1"/>
  <c r="L9" i="19" s="1"/>
  <c r="M9" i="19" s="1"/>
  <c r="N9" i="19" s="1"/>
  <c r="O9" i="19" s="1"/>
  <c r="P9" i="19" s="1"/>
  <c r="Q9" i="19" s="1"/>
  <c r="J10" i="19"/>
  <c r="K10" i="19" s="1"/>
  <c r="L10" i="19" s="1"/>
  <c r="M10" i="19" s="1"/>
  <c r="N10" i="19" s="1"/>
  <c r="O10" i="19" s="1"/>
  <c r="P10" i="19" s="1"/>
  <c r="Q10" i="19" s="1"/>
  <c r="J11" i="19"/>
  <c r="K11" i="19" s="1"/>
  <c r="L11" i="19" s="1"/>
  <c r="M11" i="19" s="1"/>
  <c r="N11" i="19" s="1"/>
  <c r="O11" i="19" s="1"/>
  <c r="P11" i="19" s="1"/>
  <c r="Q11" i="19" s="1"/>
  <c r="J12" i="19"/>
  <c r="K12" i="19" s="1"/>
  <c r="L12" i="19" s="1"/>
  <c r="M12" i="19" s="1"/>
  <c r="N12" i="19" s="1"/>
  <c r="O12" i="19" s="1"/>
  <c r="P12" i="19" s="1"/>
  <c r="Q12" i="19" s="1"/>
  <c r="J13" i="19"/>
  <c r="K13" i="19" s="1"/>
  <c r="L13" i="19" s="1"/>
  <c r="M13" i="19" s="1"/>
  <c r="N13" i="19" s="1"/>
  <c r="O13" i="19" s="1"/>
  <c r="P13" i="19" s="1"/>
  <c r="Q13" i="19" s="1"/>
  <c r="J14" i="19"/>
  <c r="K14" i="19" s="1"/>
  <c r="L14" i="19" s="1"/>
  <c r="M14" i="19" s="1"/>
  <c r="N14" i="19" s="1"/>
  <c r="O14" i="19" s="1"/>
  <c r="P14" i="19" s="1"/>
  <c r="Q14" i="19" s="1"/>
  <c r="J15" i="19"/>
  <c r="K15" i="19" s="1"/>
  <c r="L15" i="19" s="1"/>
  <c r="M15" i="19" s="1"/>
  <c r="N15" i="19" s="1"/>
  <c r="O15" i="19" s="1"/>
  <c r="P15" i="19" s="1"/>
  <c r="Q15" i="19" s="1"/>
  <c r="J16" i="19"/>
  <c r="K16" i="19" s="1"/>
  <c r="L16" i="19" s="1"/>
  <c r="M16" i="19" s="1"/>
  <c r="N16" i="19" s="1"/>
  <c r="O16" i="19" s="1"/>
  <c r="P16" i="19" s="1"/>
  <c r="Q16" i="19" s="1"/>
  <c r="J17" i="19"/>
  <c r="K17" i="19" s="1"/>
  <c r="L17" i="19" s="1"/>
  <c r="M17" i="19" s="1"/>
  <c r="N17" i="19" s="1"/>
  <c r="O17" i="19" s="1"/>
  <c r="P17" i="19" s="1"/>
  <c r="Q17" i="19" s="1"/>
  <c r="J18" i="19"/>
  <c r="K18" i="19" s="1"/>
  <c r="L18" i="19" s="1"/>
  <c r="M18" i="19" s="1"/>
  <c r="N18" i="19" s="1"/>
  <c r="O18" i="19" s="1"/>
  <c r="P18" i="19" s="1"/>
  <c r="Q18" i="19" s="1"/>
  <c r="J19" i="19"/>
  <c r="K19" i="19" s="1"/>
  <c r="L19" i="19" s="1"/>
  <c r="M19" i="19" s="1"/>
  <c r="N19" i="19" s="1"/>
  <c r="O19" i="19" s="1"/>
  <c r="P19" i="19" s="1"/>
  <c r="Q19" i="19" s="1"/>
  <c r="J20" i="19"/>
  <c r="K20" i="19" s="1"/>
  <c r="L20" i="19" s="1"/>
  <c r="M20" i="19" s="1"/>
  <c r="N20" i="19" s="1"/>
  <c r="O20" i="19" s="1"/>
  <c r="P20" i="19" s="1"/>
  <c r="Q20" i="19" s="1"/>
  <c r="J21" i="19"/>
  <c r="K21" i="19" s="1"/>
  <c r="L21" i="19" s="1"/>
  <c r="M21" i="19" s="1"/>
  <c r="N21" i="19" s="1"/>
  <c r="O21" i="19" s="1"/>
  <c r="P21" i="19" s="1"/>
  <c r="Q21" i="19" s="1"/>
  <c r="J22" i="19"/>
  <c r="K22" i="19" s="1"/>
  <c r="L22" i="19" s="1"/>
  <c r="M22" i="19" s="1"/>
  <c r="N22" i="19" s="1"/>
  <c r="O22" i="19" s="1"/>
  <c r="P22" i="19" s="1"/>
  <c r="Q22" i="19" s="1"/>
  <c r="J23" i="19"/>
  <c r="K23" i="19" s="1"/>
  <c r="L23" i="19" s="1"/>
  <c r="M23" i="19" s="1"/>
  <c r="N23" i="19" s="1"/>
  <c r="O23" i="19" s="1"/>
  <c r="P23" i="19" s="1"/>
  <c r="Q23" i="19" s="1"/>
  <c r="J24" i="19"/>
  <c r="K24" i="19" s="1"/>
  <c r="L24" i="19" s="1"/>
  <c r="M24" i="19" s="1"/>
  <c r="N24" i="19" s="1"/>
  <c r="O24" i="19" s="1"/>
  <c r="P24" i="19" s="1"/>
  <c r="Q24" i="19" s="1"/>
  <c r="J25" i="19"/>
  <c r="K25" i="19" s="1"/>
  <c r="L25" i="19" s="1"/>
  <c r="M25" i="19" s="1"/>
  <c r="N25" i="19" s="1"/>
  <c r="O25" i="19" s="1"/>
  <c r="P25" i="19" s="1"/>
  <c r="Q25" i="19" s="1"/>
  <c r="J26" i="19"/>
  <c r="K26" i="19" s="1"/>
  <c r="L26" i="19" s="1"/>
  <c r="M26" i="19" s="1"/>
  <c r="N26" i="19" s="1"/>
  <c r="O26" i="19" s="1"/>
  <c r="P26" i="19" s="1"/>
  <c r="Q26" i="19" s="1"/>
  <c r="J27" i="19"/>
  <c r="K27" i="19" s="1"/>
  <c r="L27" i="19" s="1"/>
  <c r="M27" i="19" s="1"/>
  <c r="N27" i="19" s="1"/>
  <c r="O27" i="19" s="1"/>
  <c r="P27" i="19" s="1"/>
  <c r="Q27" i="19" s="1"/>
  <c r="J28" i="19"/>
  <c r="K28" i="19" s="1"/>
  <c r="L28" i="19" s="1"/>
  <c r="M28" i="19" s="1"/>
  <c r="N28" i="19" s="1"/>
  <c r="O28" i="19" s="1"/>
  <c r="P28" i="19" s="1"/>
  <c r="Q28" i="19" s="1"/>
  <c r="J29" i="19"/>
  <c r="K29" i="19" s="1"/>
  <c r="L29" i="19" s="1"/>
  <c r="M29" i="19" s="1"/>
  <c r="N29" i="19" s="1"/>
  <c r="O29" i="19" s="1"/>
  <c r="P29" i="19" s="1"/>
  <c r="Q29" i="19" s="1"/>
  <c r="J30" i="19"/>
  <c r="K30" i="19" s="1"/>
  <c r="L30" i="19" s="1"/>
  <c r="M30" i="19" s="1"/>
  <c r="N30" i="19" s="1"/>
  <c r="O30" i="19" s="1"/>
  <c r="P30" i="19" s="1"/>
  <c r="Q30" i="19" s="1"/>
  <c r="J31" i="19"/>
  <c r="K31" i="19" s="1"/>
  <c r="L31" i="19" s="1"/>
  <c r="M31" i="19" s="1"/>
  <c r="N31" i="19" s="1"/>
  <c r="O31" i="19" s="1"/>
  <c r="P31" i="19" s="1"/>
  <c r="Q31" i="19" s="1"/>
  <c r="J32" i="19"/>
  <c r="K32" i="19" s="1"/>
  <c r="L32" i="19" s="1"/>
  <c r="M32" i="19" s="1"/>
  <c r="N32" i="19" s="1"/>
  <c r="O32" i="19" s="1"/>
  <c r="P32" i="19" s="1"/>
  <c r="Q32" i="19" s="1"/>
  <c r="J33" i="19"/>
  <c r="K33" i="19" s="1"/>
  <c r="L33" i="19" s="1"/>
  <c r="M33" i="19" s="1"/>
  <c r="N33" i="19" s="1"/>
  <c r="O33" i="19" s="1"/>
  <c r="P33" i="19" s="1"/>
  <c r="Q33" i="19" s="1"/>
  <c r="J34" i="19"/>
  <c r="K34" i="19" s="1"/>
  <c r="L34" i="19" s="1"/>
  <c r="M34" i="19" s="1"/>
  <c r="N34" i="19" s="1"/>
  <c r="O34" i="19" s="1"/>
  <c r="P34" i="19" s="1"/>
  <c r="Q34" i="19" s="1"/>
  <c r="J35" i="19"/>
  <c r="K35" i="19" s="1"/>
  <c r="L35" i="19" s="1"/>
  <c r="M35" i="19" s="1"/>
  <c r="N35" i="19" s="1"/>
  <c r="O35" i="19" s="1"/>
  <c r="P35" i="19" s="1"/>
  <c r="Q35" i="19" s="1"/>
  <c r="J36" i="19"/>
  <c r="K36" i="19" s="1"/>
  <c r="L36" i="19" s="1"/>
  <c r="M36" i="19" s="1"/>
  <c r="N36" i="19" s="1"/>
  <c r="O36" i="19" s="1"/>
  <c r="P36" i="19" s="1"/>
  <c r="Q36" i="19" s="1"/>
  <c r="J37" i="19"/>
  <c r="K37" i="19" s="1"/>
  <c r="L37" i="19" s="1"/>
  <c r="M37" i="19" s="1"/>
  <c r="N37" i="19" s="1"/>
  <c r="O37" i="19" s="1"/>
  <c r="P37" i="19" s="1"/>
  <c r="Q37" i="19" s="1"/>
  <c r="J38" i="19"/>
  <c r="K38" i="19" s="1"/>
  <c r="L38" i="19" s="1"/>
  <c r="M38" i="19" s="1"/>
  <c r="N38" i="19" s="1"/>
  <c r="O38" i="19" s="1"/>
  <c r="P38" i="19" s="1"/>
  <c r="Q38" i="19" s="1"/>
  <c r="J39" i="19"/>
  <c r="K39" i="19" s="1"/>
  <c r="L39" i="19" s="1"/>
  <c r="M39" i="19" s="1"/>
  <c r="N39" i="19" s="1"/>
  <c r="O39" i="19" s="1"/>
  <c r="P39" i="19" s="1"/>
  <c r="Q39" i="19" s="1"/>
  <c r="J40" i="19"/>
  <c r="K40" i="19" s="1"/>
  <c r="L40" i="19" s="1"/>
  <c r="M40" i="19" s="1"/>
  <c r="N40" i="19" s="1"/>
  <c r="O40" i="19" s="1"/>
  <c r="P40" i="19" s="1"/>
  <c r="Q40" i="19" s="1"/>
  <c r="J41" i="19"/>
  <c r="K41" i="19" s="1"/>
  <c r="L41" i="19" s="1"/>
  <c r="M41" i="19" s="1"/>
  <c r="N41" i="19" s="1"/>
  <c r="O41" i="19" s="1"/>
  <c r="P41" i="19" s="1"/>
  <c r="Q41" i="19" s="1"/>
  <c r="J42" i="19"/>
  <c r="K42" i="19" s="1"/>
  <c r="L42" i="19" s="1"/>
  <c r="M42" i="19" s="1"/>
  <c r="N42" i="19" s="1"/>
  <c r="O42" i="19" s="1"/>
  <c r="P42" i="19" s="1"/>
  <c r="Q42" i="19" s="1"/>
  <c r="J43" i="19"/>
  <c r="K43" i="19" s="1"/>
  <c r="L43" i="19" s="1"/>
  <c r="M43" i="19" s="1"/>
  <c r="N43" i="19" s="1"/>
  <c r="O43" i="19" s="1"/>
  <c r="P43" i="19" s="1"/>
  <c r="Q43" i="19" s="1"/>
  <c r="J44" i="19"/>
  <c r="K44" i="19" s="1"/>
  <c r="L44" i="19" s="1"/>
  <c r="M44" i="19" s="1"/>
  <c r="N44" i="19" s="1"/>
  <c r="O44" i="19" s="1"/>
  <c r="P44" i="19" s="1"/>
  <c r="Q44" i="19" s="1"/>
  <c r="J45" i="19"/>
  <c r="K45" i="19" s="1"/>
  <c r="L45" i="19" s="1"/>
  <c r="M45" i="19" s="1"/>
  <c r="N45" i="19" s="1"/>
  <c r="O45" i="19" s="1"/>
  <c r="P45" i="19" s="1"/>
  <c r="Q45" i="19" s="1"/>
  <c r="J46" i="19"/>
  <c r="K46" i="19" s="1"/>
  <c r="L46" i="19" s="1"/>
  <c r="M46" i="19" s="1"/>
  <c r="N46" i="19" s="1"/>
  <c r="O46" i="19" s="1"/>
  <c r="P46" i="19" s="1"/>
  <c r="Q46" i="19" s="1"/>
  <c r="J47" i="19"/>
  <c r="K47" i="19" s="1"/>
  <c r="L47" i="19" s="1"/>
  <c r="M47" i="19" s="1"/>
  <c r="N47" i="19" s="1"/>
  <c r="O47" i="19" s="1"/>
  <c r="P47" i="19" s="1"/>
  <c r="Q47" i="19" s="1"/>
  <c r="J48" i="19"/>
  <c r="K48" i="19" s="1"/>
  <c r="L48" i="19" s="1"/>
  <c r="M48" i="19" s="1"/>
  <c r="N48" i="19" s="1"/>
  <c r="O48" i="19" s="1"/>
  <c r="P48" i="19" s="1"/>
  <c r="Q48" i="19" s="1"/>
  <c r="J49" i="19"/>
  <c r="K49" i="19" s="1"/>
  <c r="L49" i="19" s="1"/>
  <c r="M49" i="19" s="1"/>
  <c r="N49" i="19" s="1"/>
  <c r="O49" i="19" s="1"/>
  <c r="P49" i="19" s="1"/>
  <c r="Q49" i="19" s="1"/>
  <c r="J50" i="19"/>
  <c r="K50" i="19" s="1"/>
  <c r="L50" i="19" s="1"/>
  <c r="M50" i="19" s="1"/>
  <c r="N50" i="19" s="1"/>
  <c r="O50" i="19" s="1"/>
  <c r="P50" i="19" s="1"/>
  <c r="Q50" i="19" s="1"/>
  <c r="J51" i="19"/>
  <c r="K51" i="19" s="1"/>
  <c r="L51" i="19" s="1"/>
  <c r="M51" i="19" s="1"/>
  <c r="N51" i="19" s="1"/>
  <c r="O51" i="19" s="1"/>
  <c r="P51" i="19" s="1"/>
  <c r="Q51" i="19" s="1"/>
  <c r="J52" i="19"/>
  <c r="K52" i="19" s="1"/>
  <c r="L52" i="19" s="1"/>
  <c r="M52" i="19" s="1"/>
  <c r="N52" i="19" s="1"/>
  <c r="O52" i="19" s="1"/>
  <c r="P52" i="19" s="1"/>
  <c r="Q52" i="19" s="1"/>
  <c r="J53" i="19"/>
  <c r="K53" i="19" s="1"/>
  <c r="L53" i="19" s="1"/>
  <c r="M53" i="19" s="1"/>
  <c r="N53" i="19" s="1"/>
  <c r="O53" i="19" s="1"/>
  <c r="P53" i="19" s="1"/>
  <c r="Q53" i="19" s="1"/>
  <c r="J54" i="19"/>
  <c r="K54" i="19" s="1"/>
  <c r="L54" i="19" s="1"/>
  <c r="M54" i="19" s="1"/>
  <c r="N54" i="19" s="1"/>
  <c r="O54" i="19" s="1"/>
  <c r="P54" i="19" s="1"/>
  <c r="Q54" i="19" s="1"/>
  <c r="J55" i="19"/>
  <c r="K55" i="19" s="1"/>
  <c r="L55" i="19" s="1"/>
  <c r="M55" i="19" s="1"/>
  <c r="N55" i="19" s="1"/>
  <c r="O55" i="19" s="1"/>
  <c r="P55" i="19" s="1"/>
  <c r="Q55" i="19" s="1"/>
  <c r="J56" i="19"/>
  <c r="K56" i="19" s="1"/>
  <c r="L56" i="19" s="1"/>
  <c r="M56" i="19" s="1"/>
  <c r="N56" i="19" s="1"/>
  <c r="O56" i="19" s="1"/>
  <c r="P56" i="19" s="1"/>
  <c r="Q56" i="19" s="1"/>
  <c r="J57" i="19"/>
  <c r="K57" i="19" s="1"/>
  <c r="L57" i="19" s="1"/>
  <c r="M57" i="19" s="1"/>
  <c r="N57" i="19" s="1"/>
  <c r="O57" i="19" s="1"/>
  <c r="P57" i="19" s="1"/>
  <c r="Q57" i="19" s="1"/>
  <c r="J58" i="19"/>
  <c r="K58" i="19" s="1"/>
  <c r="L58" i="19" s="1"/>
  <c r="M58" i="19" s="1"/>
  <c r="N58" i="19" s="1"/>
  <c r="O58" i="19" s="1"/>
  <c r="P58" i="19" s="1"/>
  <c r="Q58" i="19" s="1"/>
  <c r="J59" i="19"/>
  <c r="K59" i="19" s="1"/>
  <c r="L59" i="19" s="1"/>
  <c r="M59" i="19" s="1"/>
  <c r="N59" i="19" s="1"/>
  <c r="O59" i="19" s="1"/>
  <c r="P59" i="19" s="1"/>
  <c r="Q59" i="19" s="1"/>
  <c r="J60" i="19"/>
  <c r="K60" i="19" s="1"/>
  <c r="L60" i="19" s="1"/>
  <c r="M60" i="19" s="1"/>
  <c r="N60" i="19" s="1"/>
  <c r="O60" i="19" s="1"/>
  <c r="P60" i="19" s="1"/>
  <c r="Q60" i="19" s="1"/>
  <c r="J61" i="19"/>
  <c r="K61" i="19" s="1"/>
  <c r="L61" i="19" s="1"/>
  <c r="M61" i="19" s="1"/>
  <c r="N61" i="19" s="1"/>
  <c r="O61" i="19" s="1"/>
  <c r="P61" i="19" s="1"/>
  <c r="Q61" i="19" s="1"/>
  <c r="J62" i="19"/>
  <c r="K62" i="19" s="1"/>
  <c r="L62" i="19" s="1"/>
  <c r="M62" i="19" s="1"/>
  <c r="N62" i="19" s="1"/>
  <c r="O62" i="19" s="1"/>
  <c r="P62" i="19" s="1"/>
  <c r="Q62" i="19" s="1"/>
  <c r="J63" i="19"/>
  <c r="K63" i="19" s="1"/>
  <c r="L63" i="19" s="1"/>
  <c r="M63" i="19" s="1"/>
  <c r="N63" i="19" s="1"/>
  <c r="O63" i="19" s="1"/>
  <c r="P63" i="19" s="1"/>
  <c r="Q63" i="19" s="1"/>
  <c r="J64" i="19"/>
  <c r="K64" i="19" s="1"/>
  <c r="L64" i="19" s="1"/>
  <c r="M64" i="19" s="1"/>
  <c r="N64" i="19" s="1"/>
  <c r="O64" i="19" s="1"/>
  <c r="P64" i="19" s="1"/>
  <c r="Q64" i="19" s="1"/>
  <c r="J65" i="19"/>
  <c r="K65" i="19" s="1"/>
  <c r="L65" i="19" s="1"/>
  <c r="M65" i="19" s="1"/>
  <c r="N65" i="19" s="1"/>
  <c r="O65" i="19" s="1"/>
  <c r="P65" i="19" s="1"/>
  <c r="Q65" i="19" s="1"/>
  <c r="J66" i="19"/>
  <c r="K66" i="19" s="1"/>
  <c r="L66" i="19" s="1"/>
  <c r="M66" i="19" s="1"/>
  <c r="N66" i="19" s="1"/>
  <c r="O66" i="19" s="1"/>
  <c r="P66" i="19" s="1"/>
  <c r="Q66" i="19" s="1"/>
  <c r="J67" i="19"/>
  <c r="K67" i="19" s="1"/>
  <c r="L67" i="19" s="1"/>
  <c r="M67" i="19" s="1"/>
  <c r="N67" i="19" s="1"/>
  <c r="O67" i="19" s="1"/>
  <c r="P67" i="19" s="1"/>
  <c r="Q67" i="19" s="1"/>
  <c r="J68" i="19"/>
  <c r="K68" i="19" s="1"/>
  <c r="L68" i="19" s="1"/>
  <c r="M68" i="19" s="1"/>
  <c r="N68" i="19" s="1"/>
  <c r="O68" i="19" s="1"/>
  <c r="P68" i="19" s="1"/>
  <c r="Q68" i="19" s="1"/>
  <c r="J69" i="19"/>
  <c r="K69" i="19" s="1"/>
  <c r="L69" i="19" s="1"/>
  <c r="M69" i="19" s="1"/>
  <c r="N69" i="19" s="1"/>
  <c r="O69" i="19" s="1"/>
  <c r="P69" i="19" s="1"/>
  <c r="Q69" i="19" s="1"/>
  <c r="J70" i="19"/>
  <c r="K70" i="19" s="1"/>
  <c r="L70" i="19" s="1"/>
  <c r="M70" i="19" s="1"/>
  <c r="N70" i="19" s="1"/>
  <c r="O70" i="19" s="1"/>
  <c r="P70" i="19" s="1"/>
  <c r="Q70" i="19" s="1"/>
  <c r="J71" i="19"/>
  <c r="K71" i="19" s="1"/>
  <c r="L71" i="19" s="1"/>
  <c r="M71" i="19" s="1"/>
  <c r="N71" i="19" s="1"/>
  <c r="O71" i="19" s="1"/>
  <c r="P71" i="19" s="1"/>
  <c r="Q71" i="19" s="1"/>
  <c r="J72" i="19"/>
  <c r="K72" i="19" s="1"/>
  <c r="L72" i="19" s="1"/>
  <c r="M72" i="19" s="1"/>
  <c r="N72" i="19" s="1"/>
  <c r="O72" i="19" s="1"/>
  <c r="P72" i="19" s="1"/>
  <c r="Q72" i="19" s="1"/>
  <c r="J73" i="19"/>
  <c r="K73" i="19" s="1"/>
  <c r="L73" i="19" s="1"/>
  <c r="M73" i="19" s="1"/>
  <c r="N73" i="19" s="1"/>
  <c r="O73" i="19" s="1"/>
  <c r="P73" i="19" s="1"/>
  <c r="Q73" i="19" s="1"/>
  <c r="J74" i="19"/>
  <c r="K74" i="19" s="1"/>
  <c r="L74" i="19" s="1"/>
  <c r="M74" i="19" s="1"/>
  <c r="N74" i="19" s="1"/>
  <c r="O74" i="19" s="1"/>
  <c r="P74" i="19" s="1"/>
  <c r="Q74" i="19" s="1"/>
  <c r="J75" i="19"/>
  <c r="K75" i="19" s="1"/>
  <c r="L75" i="19" s="1"/>
  <c r="M75" i="19" s="1"/>
  <c r="N75" i="19" s="1"/>
  <c r="O75" i="19" s="1"/>
  <c r="P75" i="19" s="1"/>
  <c r="J3" i="19"/>
  <c r="K3" i="19" s="1"/>
  <c r="L3" i="19" s="1"/>
  <c r="M3" i="19" s="1"/>
  <c r="N3" i="19" s="1"/>
  <c r="O3" i="19" s="1"/>
  <c r="P3" i="19" s="1"/>
  <c r="Q3" i="19" s="1"/>
  <c r="J216" i="12"/>
  <c r="K216" i="12" s="1"/>
  <c r="L216" i="12" s="1"/>
  <c r="M216" i="12" s="1"/>
  <c r="J200" i="12"/>
  <c r="K200" i="12" s="1"/>
  <c r="L200" i="12" s="1"/>
  <c r="M200" i="12" s="1"/>
  <c r="J201" i="12"/>
  <c r="K201" i="12" s="1"/>
  <c r="L201" i="12" s="1"/>
  <c r="M201" i="12" s="1"/>
  <c r="J202" i="12"/>
  <c r="K202" i="12" s="1"/>
  <c r="L202" i="12" s="1"/>
  <c r="M202" i="12" s="1"/>
  <c r="J203" i="12"/>
  <c r="K203" i="12" s="1"/>
  <c r="L203" i="12" s="1"/>
  <c r="M203" i="12" s="1"/>
  <c r="J204" i="12"/>
  <c r="K204" i="12" s="1"/>
  <c r="L204" i="12" s="1"/>
  <c r="M204" i="12" s="1"/>
  <c r="J205" i="12"/>
  <c r="K205" i="12" s="1"/>
  <c r="L205" i="12" s="1"/>
  <c r="M205" i="12" s="1"/>
  <c r="J206" i="12"/>
  <c r="K206" i="12" s="1"/>
  <c r="L206" i="12" s="1"/>
  <c r="M206" i="12" s="1"/>
  <c r="J207" i="12"/>
  <c r="K207" i="12" s="1"/>
  <c r="L207" i="12" s="1"/>
  <c r="M207" i="12" s="1"/>
  <c r="J208" i="12"/>
  <c r="K208" i="12" s="1"/>
  <c r="L208" i="12" s="1"/>
  <c r="M208" i="12" s="1"/>
  <c r="J209" i="12"/>
  <c r="K209" i="12" s="1"/>
  <c r="L209" i="12" s="1"/>
  <c r="M209" i="12" s="1"/>
  <c r="J210" i="12"/>
  <c r="K210" i="12" s="1"/>
  <c r="L210" i="12" s="1"/>
  <c r="M210" i="12" s="1"/>
  <c r="J211" i="12"/>
  <c r="K211" i="12" s="1"/>
  <c r="L211" i="12" s="1"/>
  <c r="M211" i="12" s="1"/>
  <c r="J212" i="12"/>
  <c r="K212" i="12" s="1"/>
  <c r="L212" i="12" s="1"/>
  <c r="M212" i="12" s="1"/>
  <c r="J213" i="12"/>
  <c r="K213" i="12" s="1"/>
  <c r="L213" i="12" s="1"/>
  <c r="M213" i="12" s="1"/>
  <c r="J214" i="12"/>
  <c r="K214" i="12" s="1"/>
  <c r="L214" i="12" s="1"/>
  <c r="M214" i="12" s="1"/>
  <c r="J215" i="12"/>
  <c r="K215" i="12" s="1"/>
  <c r="L215" i="12" s="1"/>
  <c r="M215" i="12" s="1"/>
  <c r="J199" i="12"/>
  <c r="K199" i="12" s="1"/>
  <c r="L199" i="12" s="1"/>
  <c r="M199" i="12" s="1"/>
  <c r="J196" i="12"/>
  <c r="K196" i="12" s="1"/>
  <c r="L196" i="12" s="1"/>
  <c r="M196" i="12" s="1"/>
  <c r="J197" i="12"/>
  <c r="K197" i="12" s="1"/>
  <c r="L197" i="12" s="1"/>
  <c r="M197" i="12" s="1"/>
  <c r="J195" i="12"/>
  <c r="K195" i="12" s="1"/>
  <c r="L195" i="12" s="1"/>
  <c r="M195" i="12" s="1"/>
  <c r="J186" i="12"/>
  <c r="K186" i="12" s="1"/>
  <c r="L186" i="12" s="1"/>
  <c r="M186" i="12" s="1"/>
  <c r="J187" i="12"/>
  <c r="K187" i="12" s="1"/>
  <c r="L187" i="12" s="1"/>
  <c r="M187" i="12" s="1"/>
  <c r="J188" i="12"/>
  <c r="K188" i="12" s="1"/>
  <c r="L188" i="12" s="1"/>
  <c r="M188" i="12" s="1"/>
  <c r="J189" i="12"/>
  <c r="K189" i="12" s="1"/>
  <c r="L189" i="12" s="1"/>
  <c r="M189" i="12" s="1"/>
  <c r="J190" i="12"/>
  <c r="K190" i="12" s="1"/>
  <c r="L190" i="12" s="1"/>
  <c r="M190" i="12" s="1"/>
  <c r="J191" i="12"/>
  <c r="K191" i="12" s="1"/>
  <c r="L191" i="12" s="1"/>
  <c r="M191" i="12" s="1"/>
  <c r="J192" i="12"/>
  <c r="K192" i="12" s="1"/>
  <c r="L192" i="12" s="1"/>
  <c r="M192" i="12" s="1"/>
  <c r="J193" i="12"/>
  <c r="K193" i="12" s="1"/>
  <c r="L193" i="12" s="1"/>
  <c r="M193" i="12" s="1"/>
  <c r="J185" i="12"/>
  <c r="K185" i="12" s="1"/>
  <c r="L185" i="12" s="1"/>
  <c r="M185" i="12" s="1"/>
  <c r="J183" i="12"/>
  <c r="K183" i="12" s="1"/>
  <c r="L183" i="12" s="1"/>
  <c r="M183" i="12" s="1"/>
  <c r="J182" i="12"/>
  <c r="K182" i="12" s="1"/>
  <c r="L182" i="12" s="1"/>
  <c r="M182" i="12" s="1"/>
  <c r="J180" i="12"/>
  <c r="K180" i="12" s="1"/>
  <c r="L180" i="12" s="1"/>
  <c r="M180" i="12" s="1"/>
  <c r="J158" i="12"/>
  <c r="K158" i="12" s="1"/>
  <c r="L158" i="12" s="1"/>
  <c r="M158" i="12" s="1"/>
  <c r="J159" i="12"/>
  <c r="K159" i="12" s="1"/>
  <c r="L159" i="12" s="1"/>
  <c r="M159" i="12" s="1"/>
  <c r="J160" i="12"/>
  <c r="K160" i="12" s="1"/>
  <c r="L160" i="12" s="1"/>
  <c r="M160" i="12" s="1"/>
  <c r="J161" i="12"/>
  <c r="K161" i="12" s="1"/>
  <c r="L161" i="12" s="1"/>
  <c r="M161" i="12" s="1"/>
  <c r="J162" i="12"/>
  <c r="K162" i="12" s="1"/>
  <c r="L162" i="12" s="1"/>
  <c r="M162" i="12" s="1"/>
  <c r="J163" i="12"/>
  <c r="K163" i="12" s="1"/>
  <c r="L163" i="12" s="1"/>
  <c r="M163" i="12" s="1"/>
  <c r="J164" i="12"/>
  <c r="K164" i="12" s="1"/>
  <c r="L164" i="12" s="1"/>
  <c r="M164" i="12" s="1"/>
  <c r="J165" i="12"/>
  <c r="K165" i="12" s="1"/>
  <c r="L165" i="12" s="1"/>
  <c r="M165" i="12" s="1"/>
  <c r="J167" i="12"/>
  <c r="K167" i="12" s="1"/>
  <c r="L167" i="12" s="1"/>
  <c r="M167" i="12" s="1"/>
  <c r="J168" i="12"/>
  <c r="K168" i="12" s="1"/>
  <c r="L168" i="12" s="1"/>
  <c r="M168" i="12" s="1"/>
  <c r="J169" i="12"/>
  <c r="K169" i="12" s="1"/>
  <c r="L169" i="12" s="1"/>
  <c r="M169" i="12" s="1"/>
  <c r="J170" i="12"/>
  <c r="K170" i="12" s="1"/>
  <c r="L170" i="12" s="1"/>
  <c r="M170" i="12" s="1"/>
  <c r="J171" i="12"/>
  <c r="K171" i="12" s="1"/>
  <c r="L171" i="12" s="1"/>
  <c r="M171" i="12" s="1"/>
  <c r="J172" i="12"/>
  <c r="K172" i="12" s="1"/>
  <c r="L172" i="12" s="1"/>
  <c r="M172" i="12" s="1"/>
  <c r="J173" i="12"/>
  <c r="K173" i="12" s="1"/>
  <c r="L173" i="12" s="1"/>
  <c r="M173" i="12" s="1"/>
  <c r="J175" i="12"/>
  <c r="K175" i="12" s="1"/>
  <c r="L175" i="12" s="1"/>
  <c r="M175" i="12" s="1"/>
  <c r="J176" i="12"/>
  <c r="K176" i="12" s="1"/>
  <c r="L176" i="12" s="1"/>
  <c r="M176" i="12" s="1"/>
  <c r="J177" i="12"/>
  <c r="K177" i="12" s="1"/>
  <c r="L177" i="12" s="1"/>
  <c r="M177" i="12" s="1"/>
  <c r="J178" i="12"/>
  <c r="K178" i="12" s="1"/>
  <c r="L178" i="12" s="1"/>
  <c r="M178" i="12" s="1"/>
  <c r="J179" i="12"/>
  <c r="K179" i="12" s="1"/>
  <c r="L179" i="12" s="1"/>
  <c r="M179" i="12" s="1"/>
  <c r="J157" i="12"/>
  <c r="K157" i="12" s="1"/>
  <c r="L157" i="12" s="1"/>
  <c r="M157" i="12" s="1"/>
  <c r="J148" i="12"/>
  <c r="K148" i="12" s="1"/>
  <c r="L148" i="12" s="1"/>
  <c r="M148" i="12" s="1"/>
  <c r="J149" i="12"/>
  <c r="K149" i="12" s="1"/>
  <c r="L149" i="12" s="1"/>
  <c r="M149" i="12" s="1"/>
  <c r="J150" i="12"/>
  <c r="K150" i="12" s="1"/>
  <c r="L150" i="12" s="1"/>
  <c r="M150" i="12" s="1"/>
  <c r="J151" i="12"/>
  <c r="K151" i="12" s="1"/>
  <c r="L151" i="12" s="1"/>
  <c r="M151" i="12" s="1"/>
  <c r="J152" i="12"/>
  <c r="K152" i="12" s="1"/>
  <c r="L152" i="12" s="1"/>
  <c r="M152" i="12" s="1"/>
  <c r="J153" i="12"/>
  <c r="K153" i="12" s="1"/>
  <c r="L153" i="12" s="1"/>
  <c r="M153" i="12" s="1"/>
  <c r="J154" i="12"/>
  <c r="K154" i="12" s="1"/>
  <c r="L154" i="12" s="1"/>
  <c r="M154" i="12" s="1"/>
  <c r="J155" i="12"/>
  <c r="K155" i="12" s="1"/>
  <c r="L155" i="12" s="1"/>
  <c r="M155" i="12" s="1"/>
  <c r="J147" i="12"/>
  <c r="K147" i="12" s="1"/>
  <c r="L147" i="12" s="1"/>
  <c r="M147" i="12" s="1"/>
  <c r="J138" i="12"/>
  <c r="K138" i="12" s="1"/>
  <c r="L138" i="12" s="1"/>
  <c r="M138" i="12" s="1"/>
  <c r="J139" i="12"/>
  <c r="K139" i="12" s="1"/>
  <c r="L139" i="12" s="1"/>
  <c r="M139" i="12" s="1"/>
  <c r="J140" i="12"/>
  <c r="K140" i="12" s="1"/>
  <c r="L140" i="12" s="1"/>
  <c r="M140" i="12" s="1"/>
  <c r="J141" i="12"/>
  <c r="K141" i="12" s="1"/>
  <c r="L141" i="12" s="1"/>
  <c r="M141" i="12" s="1"/>
  <c r="J142" i="12"/>
  <c r="K142" i="12" s="1"/>
  <c r="L142" i="12" s="1"/>
  <c r="M142" i="12" s="1"/>
  <c r="J143" i="12"/>
  <c r="K143" i="12" s="1"/>
  <c r="L143" i="12" s="1"/>
  <c r="M143" i="12" s="1"/>
  <c r="J144" i="12"/>
  <c r="K144" i="12" s="1"/>
  <c r="L144" i="12" s="1"/>
  <c r="M144" i="12" s="1"/>
  <c r="J145" i="12"/>
  <c r="K145" i="12" s="1"/>
  <c r="L145" i="12" s="1"/>
  <c r="M145" i="12" s="1"/>
  <c r="J137" i="12"/>
  <c r="K137" i="12" s="1"/>
  <c r="L137" i="12" s="1"/>
  <c r="M137" i="12" s="1"/>
  <c r="J133" i="12"/>
  <c r="K133" i="12" s="1"/>
  <c r="L133" i="12" s="1"/>
  <c r="M133" i="12" s="1"/>
  <c r="J134" i="12"/>
  <c r="K134" i="12" s="1"/>
  <c r="L134" i="12" s="1"/>
  <c r="M134" i="12" s="1"/>
  <c r="J126" i="12"/>
  <c r="K126" i="12" s="1"/>
  <c r="L126" i="12" s="1"/>
  <c r="M126" i="12" s="1"/>
  <c r="J127" i="12"/>
  <c r="K127" i="12" s="1"/>
  <c r="L127" i="12" s="1"/>
  <c r="M127" i="12" s="1"/>
  <c r="J128" i="12"/>
  <c r="K128" i="12" s="1"/>
  <c r="L128" i="12" s="1"/>
  <c r="M128" i="12" s="1"/>
  <c r="J129" i="12"/>
  <c r="K129" i="12" s="1"/>
  <c r="L129" i="12" s="1"/>
  <c r="M129" i="12" s="1"/>
  <c r="J130" i="12"/>
  <c r="K130" i="12" s="1"/>
  <c r="L130" i="12" s="1"/>
  <c r="M130" i="12" s="1"/>
  <c r="J131" i="12"/>
  <c r="K131" i="12" s="1"/>
  <c r="L131" i="12" s="1"/>
  <c r="M131" i="12" s="1"/>
  <c r="J132" i="12"/>
  <c r="K132" i="12" s="1"/>
  <c r="L132" i="12" s="1"/>
  <c r="M132" i="12" s="1"/>
  <c r="J125" i="12"/>
  <c r="K125" i="12" s="1"/>
  <c r="L125" i="12" s="1"/>
  <c r="M125" i="12" s="1"/>
  <c r="J122" i="12"/>
  <c r="K122" i="12" s="1"/>
  <c r="L122" i="12" s="1"/>
  <c r="M122" i="12" s="1"/>
  <c r="J123" i="12"/>
  <c r="K123" i="12" s="1"/>
  <c r="L123" i="12" s="1"/>
  <c r="M123" i="12" s="1"/>
  <c r="J121" i="12"/>
  <c r="K121" i="12" s="1"/>
  <c r="L121" i="12" s="1"/>
  <c r="M121" i="12" s="1"/>
  <c r="J117" i="12"/>
  <c r="K117" i="12" s="1"/>
  <c r="L117" i="12" s="1"/>
  <c r="M117" i="12" s="1"/>
  <c r="J118" i="12"/>
  <c r="K118" i="12" s="1"/>
  <c r="L118" i="12" s="1"/>
  <c r="M118" i="12" s="1"/>
  <c r="J119" i="12"/>
  <c r="K119" i="12" s="1"/>
  <c r="L119" i="12" s="1"/>
  <c r="M119" i="12" s="1"/>
  <c r="J116" i="12"/>
  <c r="K116" i="12" s="1"/>
  <c r="L116" i="12" s="1"/>
  <c r="M116" i="12" s="1"/>
  <c r="J111" i="12"/>
  <c r="K111" i="12" s="1"/>
  <c r="L111" i="12" s="1"/>
  <c r="M111" i="12" s="1"/>
  <c r="J112" i="12"/>
  <c r="K112" i="12" s="1"/>
  <c r="L112" i="12" s="1"/>
  <c r="M112" i="12" s="1"/>
  <c r="J113" i="12"/>
  <c r="K113" i="12" s="1"/>
  <c r="L113" i="12" s="1"/>
  <c r="M113" i="12" s="1"/>
  <c r="J114" i="12"/>
  <c r="K114" i="12" s="1"/>
  <c r="L114" i="12" s="1"/>
  <c r="M114" i="12" s="1"/>
  <c r="J110" i="12"/>
  <c r="K110" i="12" s="1"/>
  <c r="L110" i="12" s="1"/>
  <c r="M110" i="12" s="1"/>
  <c r="J106" i="12"/>
  <c r="K106" i="12" s="1"/>
  <c r="L106" i="12" s="1"/>
  <c r="M106" i="12" s="1"/>
  <c r="J107" i="12"/>
  <c r="K107" i="12" s="1"/>
  <c r="L107" i="12" s="1"/>
  <c r="M107" i="12" s="1"/>
  <c r="J108" i="12"/>
  <c r="K108" i="12" s="1"/>
  <c r="L108" i="12" s="1"/>
  <c r="M108" i="12" s="1"/>
  <c r="J105" i="12"/>
  <c r="K105" i="12" s="1"/>
  <c r="L105" i="12" s="1"/>
  <c r="M105" i="12" s="1"/>
  <c r="J93" i="12"/>
  <c r="K93" i="12" s="1"/>
  <c r="L93" i="12" s="1"/>
  <c r="M93" i="12" s="1"/>
  <c r="J94" i="12"/>
  <c r="K94" i="12" s="1"/>
  <c r="L94" i="12" s="1"/>
  <c r="M94" i="12" s="1"/>
  <c r="J95" i="12"/>
  <c r="K95" i="12" s="1"/>
  <c r="L95" i="12" s="1"/>
  <c r="M95" i="12" s="1"/>
  <c r="J96" i="12"/>
  <c r="K96" i="12" s="1"/>
  <c r="L96" i="12" s="1"/>
  <c r="M96" i="12" s="1"/>
  <c r="J97" i="12"/>
  <c r="K97" i="12" s="1"/>
  <c r="L97" i="12" s="1"/>
  <c r="M97" i="12" s="1"/>
  <c r="J98" i="12"/>
  <c r="K98" i="12" s="1"/>
  <c r="L98" i="12" s="1"/>
  <c r="M98" i="12" s="1"/>
  <c r="J99" i="12"/>
  <c r="K99" i="12" s="1"/>
  <c r="L99" i="12" s="1"/>
  <c r="M99" i="12" s="1"/>
  <c r="J100" i="12"/>
  <c r="K100" i="12" s="1"/>
  <c r="L100" i="12" s="1"/>
  <c r="M100" i="12" s="1"/>
  <c r="J101" i="12"/>
  <c r="K101" i="12" s="1"/>
  <c r="L101" i="12" s="1"/>
  <c r="M101" i="12" s="1"/>
  <c r="J102" i="12"/>
  <c r="K102" i="12" s="1"/>
  <c r="L102" i="12" s="1"/>
  <c r="M102" i="12" s="1"/>
  <c r="J103" i="12"/>
  <c r="K103" i="12" s="1"/>
  <c r="L103" i="12" s="1"/>
  <c r="M103" i="12" s="1"/>
  <c r="J92" i="12"/>
  <c r="K92" i="12" s="1"/>
  <c r="L92" i="12" s="1"/>
  <c r="M92" i="12" s="1"/>
  <c r="J80" i="12"/>
  <c r="K80" i="12" s="1"/>
  <c r="L80" i="12" s="1"/>
  <c r="M80" i="12" s="1"/>
  <c r="J81" i="12"/>
  <c r="K81" i="12" s="1"/>
  <c r="L81" i="12" s="1"/>
  <c r="M81" i="12" s="1"/>
  <c r="J82" i="12"/>
  <c r="K82" i="12" s="1"/>
  <c r="L82" i="12" s="1"/>
  <c r="M82" i="12" s="1"/>
  <c r="J83" i="12"/>
  <c r="K83" i="12" s="1"/>
  <c r="L83" i="12" s="1"/>
  <c r="M83" i="12" s="1"/>
  <c r="J84" i="12"/>
  <c r="K84" i="12" s="1"/>
  <c r="L84" i="12" s="1"/>
  <c r="M84" i="12" s="1"/>
  <c r="J85" i="12"/>
  <c r="K85" i="12" s="1"/>
  <c r="L85" i="12" s="1"/>
  <c r="M85" i="12" s="1"/>
  <c r="J86" i="12"/>
  <c r="K86" i="12" s="1"/>
  <c r="L86" i="12" s="1"/>
  <c r="M86" i="12" s="1"/>
  <c r="J87" i="12"/>
  <c r="K87" i="12" s="1"/>
  <c r="L87" i="12" s="1"/>
  <c r="M87" i="12" s="1"/>
  <c r="J88" i="12"/>
  <c r="K88" i="12" s="1"/>
  <c r="L88" i="12" s="1"/>
  <c r="M88" i="12" s="1"/>
  <c r="J89" i="12"/>
  <c r="K89" i="12" s="1"/>
  <c r="L89" i="12" s="1"/>
  <c r="M89" i="12" s="1"/>
  <c r="J90" i="12"/>
  <c r="K90" i="12" s="1"/>
  <c r="L90" i="12" s="1"/>
  <c r="M90" i="12" s="1"/>
  <c r="J79" i="12"/>
  <c r="K79" i="12" s="1"/>
  <c r="L79" i="12" s="1"/>
  <c r="M79" i="12" s="1"/>
  <c r="J67" i="12"/>
  <c r="K67" i="12" s="1"/>
  <c r="L67" i="12" s="1"/>
  <c r="M67" i="12" s="1"/>
  <c r="J68" i="12"/>
  <c r="K68" i="12" s="1"/>
  <c r="L68" i="12" s="1"/>
  <c r="M68" i="12" s="1"/>
  <c r="J69" i="12"/>
  <c r="K69" i="12" s="1"/>
  <c r="L69" i="12" s="1"/>
  <c r="M69" i="12" s="1"/>
  <c r="J70" i="12"/>
  <c r="K70" i="12" s="1"/>
  <c r="L70" i="12" s="1"/>
  <c r="M70" i="12" s="1"/>
  <c r="J71" i="12"/>
  <c r="K71" i="12" s="1"/>
  <c r="L71" i="12" s="1"/>
  <c r="M71" i="12" s="1"/>
  <c r="J72" i="12"/>
  <c r="K72" i="12" s="1"/>
  <c r="L72" i="12" s="1"/>
  <c r="M72" i="12" s="1"/>
  <c r="J73" i="12"/>
  <c r="K73" i="12" s="1"/>
  <c r="L73" i="12" s="1"/>
  <c r="M73" i="12" s="1"/>
  <c r="J74" i="12"/>
  <c r="K74" i="12" s="1"/>
  <c r="L74" i="12" s="1"/>
  <c r="M74" i="12" s="1"/>
  <c r="J75" i="12"/>
  <c r="K75" i="12" s="1"/>
  <c r="L75" i="12" s="1"/>
  <c r="M75" i="12" s="1"/>
  <c r="J76" i="12"/>
  <c r="K76" i="12" s="1"/>
  <c r="L76" i="12" s="1"/>
  <c r="M76" i="12" s="1"/>
  <c r="J77" i="12"/>
  <c r="K77" i="12" s="1"/>
  <c r="L77" i="12" s="1"/>
  <c r="M77" i="12" s="1"/>
  <c r="J66" i="12"/>
  <c r="K66" i="12" s="1"/>
  <c r="L66" i="12" s="1"/>
  <c r="M66" i="12" s="1"/>
  <c r="J57" i="12"/>
  <c r="K57" i="12" s="1"/>
  <c r="L57" i="12" s="1"/>
  <c r="M57" i="12" s="1"/>
  <c r="J60" i="12"/>
  <c r="K60" i="12" s="1"/>
  <c r="L60" i="12" s="1"/>
  <c r="M60" i="12" s="1"/>
  <c r="J61" i="12"/>
  <c r="K61" i="12" s="1"/>
  <c r="L61" i="12" s="1"/>
  <c r="M61" i="12" s="1"/>
  <c r="J62" i="12"/>
  <c r="K62" i="12" s="1"/>
  <c r="L62" i="12" s="1"/>
  <c r="M62" i="12" s="1"/>
  <c r="J63" i="12"/>
  <c r="K63" i="12" s="1"/>
  <c r="L63" i="12" s="1"/>
  <c r="M63" i="12" s="1"/>
  <c r="J52" i="12"/>
  <c r="K52" i="12" s="1"/>
  <c r="L52" i="12" s="1"/>
  <c r="M52" i="12" s="1"/>
  <c r="J53" i="12"/>
  <c r="K53" i="12" s="1"/>
  <c r="L53" i="12" s="1"/>
  <c r="M53" i="12" s="1"/>
  <c r="J54" i="12"/>
  <c r="K54" i="12" s="1"/>
  <c r="L54" i="12" s="1"/>
  <c r="M54" i="12" s="1"/>
  <c r="J55" i="12"/>
  <c r="K55" i="12" s="1"/>
  <c r="L55" i="12" s="1"/>
  <c r="M55" i="12" s="1"/>
  <c r="J51" i="12"/>
  <c r="K51" i="12" s="1"/>
  <c r="L51" i="12" s="1"/>
  <c r="M51" i="12" s="1"/>
  <c r="J43" i="12"/>
  <c r="K43" i="12" s="1"/>
  <c r="L43" i="12" s="1"/>
  <c r="M43" i="12" s="1"/>
  <c r="J44" i="12"/>
  <c r="K44" i="12" s="1"/>
  <c r="L44" i="12" s="1"/>
  <c r="M44" i="12" s="1"/>
  <c r="J45" i="12"/>
  <c r="K45" i="12" s="1"/>
  <c r="L45" i="12" s="1"/>
  <c r="M45" i="12" s="1"/>
  <c r="J46" i="12"/>
  <c r="K46" i="12" s="1"/>
  <c r="L46" i="12" s="1"/>
  <c r="M46" i="12" s="1"/>
  <c r="J47" i="12"/>
  <c r="K47" i="12" s="1"/>
  <c r="L47" i="12" s="1"/>
  <c r="M47" i="12" s="1"/>
  <c r="J48" i="12"/>
  <c r="K48" i="12" s="1"/>
  <c r="L48" i="12" s="1"/>
  <c r="M48" i="12" s="1"/>
  <c r="J49" i="12"/>
  <c r="K49" i="12" s="1"/>
  <c r="L49" i="12" s="1"/>
  <c r="M49" i="12" s="1"/>
  <c r="J42" i="12"/>
  <c r="K42" i="12" s="1"/>
  <c r="L42" i="12" s="1"/>
  <c r="M42" i="12" s="1"/>
  <c r="J39" i="12"/>
  <c r="K39" i="12" s="1"/>
  <c r="L39" i="12" s="1"/>
  <c r="M39" i="12" s="1"/>
  <c r="J40" i="12"/>
  <c r="K40" i="12" s="1"/>
  <c r="L40" i="12" s="1"/>
  <c r="M40" i="12" s="1"/>
  <c r="J38" i="12"/>
  <c r="K38" i="12" s="1"/>
  <c r="L38" i="12" s="1"/>
  <c r="M38" i="12" s="1"/>
  <c r="J34" i="12"/>
  <c r="K34" i="12" s="1"/>
  <c r="L34" i="12" s="1"/>
  <c r="M34" i="12" s="1"/>
  <c r="J35" i="12"/>
  <c r="K35" i="12" s="1"/>
  <c r="L35" i="12" s="1"/>
  <c r="M35" i="12" s="1"/>
  <c r="J36" i="12"/>
  <c r="K36" i="12" s="1"/>
  <c r="L36" i="12" s="1"/>
  <c r="M36" i="12" s="1"/>
  <c r="J33" i="12"/>
  <c r="K33" i="12" s="1"/>
  <c r="L33" i="12" s="1"/>
  <c r="M33" i="12" s="1"/>
  <c r="J30" i="12"/>
  <c r="K30" i="12" s="1"/>
  <c r="L30" i="12" s="1"/>
  <c r="M30" i="12" s="1"/>
  <c r="J31" i="12"/>
  <c r="K31" i="12" s="1"/>
  <c r="L31" i="12" s="1"/>
  <c r="M31" i="12" s="1"/>
  <c r="J29" i="12"/>
  <c r="K29" i="12" s="1"/>
  <c r="L29" i="12" s="1"/>
  <c r="M29" i="12" s="1"/>
  <c r="J27" i="12"/>
  <c r="K27" i="12" s="1"/>
  <c r="L27" i="12" s="1"/>
  <c r="M27" i="12" s="1"/>
  <c r="J26" i="12"/>
  <c r="K26" i="12" s="1"/>
  <c r="L26" i="12" s="1"/>
  <c r="M26" i="12" s="1"/>
  <c r="J21" i="12"/>
  <c r="K21" i="12" s="1"/>
  <c r="L21" i="12" s="1"/>
  <c r="M21" i="12" s="1"/>
  <c r="J22" i="12"/>
  <c r="K22" i="12" s="1"/>
  <c r="L22" i="12" s="1"/>
  <c r="M22" i="12" s="1"/>
  <c r="J23" i="12"/>
  <c r="K23" i="12" s="1"/>
  <c r="L23" i="12" s="1"/>
  <c r="M23" i="12" s="1"/>
  <c r="J24" i="12"/>
  <c r="K24" i="12" s="1"/>
  <c r="L24" i="12" s="1"/>
  <c r="M24" i="12" s="1"/>
  <c r="J20" i="12"/>
  <c r="K20" i="12" s="1"/>
  <c r="L20" i="12" s="1"/>
  <c r="M20" i="12" s="1"/>
  <c r="J17" i="12"/>
  <c r="K17" i="12" s="1"/>
  <c r="L17" i="12" s="1"/>
  <c r="M17" i="12" s="1"/>
  <c r="J18" i="12"/>
  <c r="K18" i="12" s="1"/>
  <c r="L18" i="12" s="1"/>
  <c r="M18" i="12" s="1"/>
  <c r="J16" i="12"/>
  <c r="K16" i="12" s="1"/>
  <c r="L16" i="12" s="1"/>
  <c r="M16" i="12" s="1"/>
  <c r="J13" i="12"/>
  <c r="K13" i="12" s="1"/>
  <c r="L13" i="12" s="1"/>
  <c r="M13" i="12" s="1"/>
  <c r="J14" i="12"/>
  <c r="K14" i="12" s="1"/>
  <c r="L14" i="12" s="1"/>
  <c r="M14" i="12" s="1"/>
  <c r="J12" i="12"/>
  <c r="K12" i="12" s="1"/>
  <c r="L12" i="12" s="1"/>
  <c r="M12" i="12" s="1"/>
  <c r="J6" i="12"/>
  <c r="K6" i="12" s="1"/>
  <c r="L6" i="12" s="1"/>
  <c r="M6" i="12" s="1"/>
  <c r="J7" i="12"/>
  <c r="K7" i="12" s="1"/>
  <c r="L7" i="12" s="1"/>
  <c r="M7" i="12" s="1"/>
  <c r="J8" i="12"/>
  <c r="K8" i="12" s="1"/>
  <c r="L8" i="12" s="1"/>
  <c r="M8" i="12" s="1"/>
  <c r="J9" i="12"/>
  <c r="K9" i="12" s="1"/>
  <c r="L9" i="12" s="1"/>
  <c r="M9" i="12" s="1"/>
  <c r="J5" i="12"/>
  <c r="K5" i="12" s="1"/>
  <c r="L5" i="12" s="1"/>
  <c r="M5" i="12" s="1"/>
  <c r="I8" i="11"/>
  <c r="J8" i="11" s="1"/>
  <c r="K8" i="11" s="1"/>
  <c r="L8" i="11" s="1"/>
  <c r="I10" i="11"/>
  <c r="J10" i="11" s="1"/>
  <c r="K10" i="11" s="1"/>
  <c r="L10" i="11" s="1"/>
  <c r="I7" i="11"/>
  <c r="J7" i="11" s="1"/>
  <c r="K7" i="11" s="1"/>
  <c r="L7" i="11" s="1"/>
  <c r="I11" i="11"/>
  <c r="J11" i="11" s="1"/>
  <c r="K11" i="11" s="1"/>
  <c r="L11" i="11" s="1"/>
  <c r="I12" i="11"/>
  <c r="J12" i="11" s="1"/>
  <c r="K12" i="11" s="1"/>
  <c r="L12" i="11" s="1"/>
  <c r="I5" i="11"/>
  <c r="J5" i="11" s="1"/>
  <c r="K5" i="11" s="1"/>
  <c r="L5" i="11" s="1"/>
  <c r="I13" i="11"/>
  <c r="J13" i="11" s="1"/>
  <c r="K13" i="11" s="1"/>
  <c r="L13" i="11" s="1"/>
  <c r="I14" i="11"/>
  <c r="J14" i="11" s="1"/>
  <c r="K14" i="11" s="1"/>
  <c r="L14" i="11" s="1"/>
  <c r="I15" i="11"/>
  <c r="J15" i="11" s="1"/>
  <c r="K15" i="11" s="1"/>
  <c r="L15" i="11" s="1"/>
  <c r="I16" i="11"/>
  <c r="J16" i="11" s="1"/>
  <c r="K16" i="11" s="1"/>
  <c r="L16" i="11" s="1"/>
  <c r="I9" i="11"/>
  <c r="J9" i="11" s="1"/>
  <c r="K9" i="11" s="1"/>
  <c r="L9" i="11" s="1"/>
  <c r="I3" i="11"/>
  <c r="J3" i="11" s="1"/>
  <c r="K3" i="11" s="1"/>
  <c r="L3" i="11" s="1"/>
  <c r="I17" i="11"/>
  <c r="J17" i="11" s="1"/>
  <c r="K17" i="11" s="1"/>
  <c r="L17" i="11" s="1"/>
  <c r="I18" i="11"/>
  <c r="J18" i="11" s="1"/>
  <c r="K18" i="11" s="1"/>
  <c r="L18" i="11" s="1"/>
  <c r="I19" i="11"/>
  <c r="J19" i="11" s="1"/>
  <c r="K19" i="11" s="1"/>
  <c r="L19" i="11" s="1"/>
  <c r="I20" i="11"/>
  <c r="J20" i="11" s="1"/>
  <c r="K20" i="11" s="1"/>
  <c r="L20" i="11" s="1"/>
  <c r="I21" i="11"/>
  <c r="J21" i="11" s="1"/>
  <c r="K21" i="11" s="1"/>
  <c r="L21" i="11" s="1"/>
  <c r="I22" i="11"/>
  <c r="J22" i="11" s="1"/>
  <c r="K22" i="11" s="1"/>
  <c r="L22" i="11" s="1"/>
  <c r="I23" i="11"/>
  <c r="J23" i="11" s="1"/>
  <c r="K23" i="11" s="1"/>
  <c r="L23" i="11" s="1"/>
  <c r="I24" i="11"/>
  <c r="J24" i="11" s="1"/>
  <c r="K24" i="11" s="1"/>
  <c r="L24" i="11" s="1"/>
  <c r="I25" i="11"/>
  <c r="J25" i="11" s="1"/>
  <c r="K25" i="11" s="1"/>
  <c r="L25" i="11" s="1"/>
  <c r="I26" i="11"/>
  <c r="J26" i="11" s="1"/>
  <c r="K26" i="11" s="1"/>
  <c r="L26" i="11" s="1"/>
  <c r="I27" i="11"/>
  <c r="J27" i="11" s="1"/>
  <c r="K27" i="11" s="1"/>
  <c r="L27" i="11" s="1"/>
  <c r="I28" i="11"/>
  <c r="J28" i="11" s="1"/>
  <c r="K28" i="11" s="1"/>
  <c r="L28" i="11" s="1"/>
  <c r="I29" i="11"/>
  <c r="J29" i="11" s="1"/>
  <c r="K29" i="11" s="1"/>
  <c r="L29" i="11" s="1"/>
  <c r="I30" i="11"/>
  <c r="J30" i="11" s="1"/>
  <c r="K30" i="11" s="1"/>
  <c r="L30" i="11" s="1"/>
  <c r="I4" i="11"/>
  <c r="J4" i="11" s="1"/>
  <c r="K4" i="11" s="1"/>
  <c r="L4" i="11" s="1"/>
  <c r="I6" i="11"/>
  <c r="J6" i="11" s="1"/>
  <c r="K6" i="11" s="1"/>
  <c r="L6" i="11" s="1"/>
  <c r="J26" i="10"/>
  <c r="K26" i="10" s="1"/>
  <c r="J27" i="10"/>
  <c r="K27" i="10" s="1"/>
  <c r="J28" i="10"/>
  <c r="K28" i="10" s="1"/>
  <c r="J29" i="10"/>
  <c r="K29" i="10" s="1"/>
  <c r="J30" i="10"/>
  <c r="K30" i="10" s="1"/>
  <c r="J31" i="10"/>
  <c r="K31" i="10" s="1"/>
  <c r="J32" i="10"/>
  <c r="K32" i="10" s="1"/>
  <c r="J33" i="10"/>
  <c r="K33" i="10" s="1"/>
  <c r="J34" i="10"/>
  <c r="K34" i="10" s="1"/>
  <c r="J35" i="10"/>
  <c r="K35" i="10" s="1"/>
  <c r="J36" i="10"/>
  <c r="K36" i="10" s="1"/>
  <c r="J37" i="10"/>
  <c r="K37" i="10" s="1"/>
  <c r="J38" i="10"/>
  <c r="K38" i="10" s="1"/>
  <c r="J39" i="10"/>
  <c r="K39" i="10" s="1"/>
  <c r="J40" i="10"/>
  <c r="K40" i="10" s="1"/>
  <c r="J41" i="10"/>
  <c r="K41" i="10" s="1"/>
  <c r="J42" i="10"/>
  <c r="K42" i="10" s="1"/>
  <c r="J43" i="10"/>
  <c r="K43" i="10" s="1"/>
  <c r="J44" i="10"/>
  <c r="K44" i="10" s="1"/>
  <c r="L44" i="10" s="1"/>
  <c r="M44" i="10" s="1"/>
  <c r="J46" i="10"/>
  <c r="K46" i="10" s="1"/>
  <c r="L46" i="10" s="1"/>
  <c r="M46" i="10" s="1"/>
  <c r="J47" i="10"/>
  <c r="K47" i="10" s="1"/>
  <c r="L47" i="10" s="1"/>
  <c r="M47" i="10" s="1"/>
  <c r="J25" i="10"/>
  <c r="K25" i="10" s="1"/>
  <c r="J18" i="10"/>
  <c r="K18" i="10" s="1"/>
  <c r="L18" i="10" s="1"/>
  <c r="M18" i="10" s="1"/>
  <c r="J11" i="10"/>
  <c r="K11" i="10" s="1"/>
  <c r="L11" i="10" s="1"/>
  <c r="M11" i="10" s="1"/>
  <c r="J12" i="10"/>
  <c r="K12" i="10" s="1"/>
  <c r="L12" i="10" s="1"/>
  <c r="M12" i="10" s="1"/>
  <c r="J13" i="10"/>
  <c r="K13" i="10" s="1"/>
  <c r="L13" i="10" s="1"/>
  <c r="M13" i="10" s="1"/>
  <c r="J14" i="10"/>
  <c r="K14" i="10" s="1"/>
  <c r="L14" i="10" s="1"/>
  <c r="M14" i="10" s="1"/>
  <c r="J15" i="10"/>
  <c r="K15" i="10" s="1"/>
  <c r="L15" i="10" s="1"/>
  <c r="M15" i="10" s="1"/>
  <c r="J16" i="10"/>
  <c r="K16" i="10" s="1"/>
  <c r="L16" i="10" s="1"/>
  <c r="M16" i="10" s="1"/>
  <c r="J10" i="10"/>
  <c r="K10" i="10" s="1"/>
  <c r="L10" i="10" s="1"/>
  <c r="M10" i="10" s="1"/>
  <c r="J7" i="10"/>
  <c r="K7" i="10" s="1"/>
  <c r="L7" i="10" s="1"/>
  <c r="M7" i="10" s="1"/>
  <c r="J8" i="10"/>
  <c r="K8" i="10" s="1"/>
  <c r="L8" i="10" s="1"/>
  <c r="M8" i="10" s="1"/>
  <c r="J6" i="10"/>
  <c r="K6" i="10" s="1"/>
  <c r="L6" i="10" s="1"/>
  <c r="M6" i="10" s="1"/>
  <c r="I143" i="9"/>
  <c r="I144" i="9"/>
  <c r="I145" i="9"/>
  <c r="I146" i="9"/>
  <c r="I142" i="9"/>
  <c r="I135" i="9"/>
  <c r="I136" i="9"/>
  <c r="I137" i="9"/>
  <c r="I138" i="9"/>
  <c r="I139" i="9"/>
  <c r="I140" i="9"/>
  <c r="I134" i="9"/>
  <c r="I131" i="9"/>
  <c r="I132" i="9"/>
  <c r="I130" i="9"/>
  <c r="I99" i="9"/>
  <c r="I15" i="9"/>
  <c r="J15" i="9" s="1"/>
  <c r="I16" i="9"/>
  <c r="J16" i="9" s="1"/>
  <c r="I17" i="9"/>
  <c r="J17" i="9" s="1"/>
  <c r="I18" i="9"/>
  <c r="J18" i="9" s="1"/>
  <c r="I19" i="9"/>
  <c r="J19" i="9" s="1"/>
  <c r="I20" i="9"/>
  <c r="J20" i="9" s="1"/>
  <c r="I21" i="9"/>
  <c r="J21" i="9" s="1"/>
  <c r="I22" i="9"/>
  <c r="J22" i="9" s="1"/>
  <c r="I14" i="9"/>
  <c r="J14" i="9" s="1"/>
  <c r="I11" i="9"/>
  <c r="J11" i="9" s="1"/>
  <c r="K11" i="9" s="1"/>
  <c r="L11" i="9" s="1"/>
  <c r="I12" i="9"/>
  <c r="J12" i="9" s="1"/>
  <c r="K12" i="9" s="1"/>
  <c r="L12" i="9" s="1"/>
  <c r="I10" i="9"/>
  <c r="J10" i="9" s="1"/>
  <c r="K10" i="9" s="1"/>
  <c r="L10" i="9" s="1"/>
  <c r="I5" i="9"/>
  <c r="J5" i="9" s="1"/>
  <c r="I7" i="9"/>
  <c r="J7" i="9" s="1"/>
  <c r="I8" i="9"/>
  <c r="J8" i="9" s="1"/>
  <c r="K8" i="9" s="1"/>
  <c r="L8" i="9" s="1"/>
  <c r="I4" i="9"/>
  <c r="J4" i="9" s="1"/>
  <c r="K5" i="9" s="1"/>
  <c r="L5" i="9" s="1"/>
  <c r="J177" i="8"/>
  <c r="K177" i="8" s="1"/>
  <c r="L177" i="8" s="1"/>
  <c r="J176" i="8"/>
  <c r="K176" i="8" s="1"/>
  <c r="L176" i="8" s="1"/>
  <c r="J170" i="8"/>
  <c r="J171" i="8"/>
  <c r="J172" i="8"/>
  <c r="J173" i="8"/>
  <c r="J174" i="8"/>
  <c r="J168" i="8"/>
  <c r="K168" i="8" s="1"/>
  <c r="L168" i="8" s="1"/>
  <c r="J169" i="8"/>
  <c r="K169" i="8" s="1"/>
  <c r="L169" i="8" s="1"/>
  <c r="J167" i="8"/>
  <c r="K167" i="8" s="1"/>
  <c r="L167" i="8" s="1"/>
  <c r="J163" i="8"/>
  <c r="J164" i="8"/>
  <c r="J165" i="8"/>
  <c r="J162" i="8"/>
  <c r="J148" i="8"/>
  <c r="K148" i="8" s="1"/>
  <c r="L148" i="8" s="1"/>
  <c r="J149" i="8"/>
  <c r="K149" i="8" s="1"/>
  <c r="L149" i="8" s="1"/>
  <c r="J150" i="8"/>
  <c r="K150" i="8" s="1"/>
  <c r="L150" i="8" s="1"/>
  <c r="J143" i="8"/>
  <c r="K143" i="8" s="1"/>
  <c r="L143" i="8" s="1"/>
  <c r="J144" i="8"/>
  <c r="K144" i="8" s="1"/>
  <c r="L144" i="8" s="1"/>
  <c r="J145" i="8"/>
  <c r="K145" i="8" s="1"/>
  <c r="L145" i="8" s="1"/>
  <c r="J146" i="8"/>
  <c r="K146" i="8" s="1"/>
  <c r="L146" i="8" s="1"/>
  <c r="J147" i="8"/>
  <c r="K147" i="8" s="1"/>
  <c r="L147" i="8" s="1"/>
  <c r="J142" i="8"/>
  <c r="K142" i="8" s="1"/>
  <c r="L142" i="8" s="1"/>
  <c r="J140" i="8"/>
  <c r="J139" i="8"/>
  <c r="J136" i="8"/>
  <c r="J135" i="8"/>
  <c r="J130" i="8"/>
  <c r="K130" i="8" s="1"/>
  <c r="L130" i="8" s="1"/>
  <c r="J131" i="8"/>
  <c r="K131" i="8" s="1"/>
  <c r="L131" i="8" s="1"/>
  <c r="J132" i="8"/>
  <c r="K132" i="8" s="1"/>
  <c r="L132" i="8" s="1"/>
  <c r="J133" i="8"/>
  <c r="K133" i="8" s="1"/>
  <c r="L133" i="8" s="1"/>
  <c r="J129" i="8"/>
  <c r="K129" i="8" s="1"/>
  <c r="L129" i="8" s="1"/>
  <c r="J111" i="8"/>
  <c r="K111" i="8" s="1"/>
  <c r="L111" i="8" s="1"/>
  <c r="J112" i="8"/>
  <c r="K112" i="8" s="1"/>
  <c r="L112" i="8" s="1"/>
  <c r="J113" i="8"/>
  <c r="K113" i="8" s="1"/>
  <c r="L113" i="8" s="1"/>
  <c r="J114" i="8"/>
  <c r="K114" i="8" s="1"/>
  <c r="L114" i="8" s="1"/>
  <c r="J110" i="8"/>
  <c r="K110" i="8" s="1"/>
  <c r="L110" i="8" s="1"/>
  <c r="J104" i="8"/>
  <c r="K104" i="8" s="1"/>
  <c r="L104" i="8" s="1"/>
  <c r="J105" i="8"/>
  <c r="K105" i="8" s="1"/>
  <c r="L105" i="8" s="1"/>
  <c r="J106" i="8"/>
  <c r="K106" i="8" s="1"/>
  <c r="L106" i="8" s="1"/>
  <c r="J107" i="8"/>
  <c r="K107" i="8" s="1"/>
  <c r="L107" i="8" s="1"/>
  <c r="J108" i="8"/>
  <c r="K108" i="8" s="1"/>
  <c r="L108" i="8" s="1"/>
  <c r="J103" i="8"/>
  <c r="K103" i="8" s="1"/>
  <c r="L103" i="8" s="1"/>
  <c r="J94" i="8"/>
  <c r="K94" i="8" s="1"/>
  <c r="L94" i="8" s="1"/>
  <c r="J95" i="8"/>
  <c r="K95" i="8" s="1"/>
  <c r="L95" i="8" s="1"/>
  <c r="J96" i="8"/>
  <c r="K96" i="8" s="1"/>
  <c r="L96" i="8" s="1"/>
  <c r="J97" i="8"/>
  <c r="K97" i="8" s="1"/>
  <c r="L97" i="8" s="1"/>
  <c r="J98" i="8"/>
  <c r="K98" i="8" s="1"/>
  <c r="L98" i="8" s="1"/>
  <c r="J99" i="8"/>
  <c r="K99" i="8" s="1"/>
  <c r="L99" i="8" s="1"/>
  <c r="J93" i="8"/>
  <c r="K93" i="8" s="1"/>
  <c r="L93" i="8" s="1"/>
  <c r="J91" i="8"/>
  <c r="K91" i="8" s="1"/>
  <c r="L91" i="8" s="1"/>
  <c r="J89" i="8"/>
  <c r="K89" i="8" s="1"/>
  <c r="L89" i="8" s="1"/>
  <c r="J88" i="8"/>
  <c r="K88" i="8" s="1"/>
  <c r="L88" i="8" s="1"/>
  <c r="J85" i="8"/>
  <c r="K85" i="8" s="1"/>
  <c r="L85" i="8" s="1"/>
  <c r="J86" i="8"/>
  <c r="K86" i="8" s="1"/>
  <c r="L86" i="8" s="1"/>
  <c r="J84" i="8"/>
  <c r="K84" i="8" s="1"/>
  <c r="L84" i="8" s="1"/>
  <c r="J82" i="8"/>
  <c r="K82" i="8" s="1"/>
  <c r="L82" i="8" s="1"/>
  <c r="J68" i="8"/>
  <c r="K68" i="8" s="1"/>
  <c r="L68" i="8" s="1"/>
  <c r="J69" i="8"/>
  <c r="K69" i="8" s="1"/>
  <c r="L69" i="8" s="1"/>
  <c r="J70" i="8"/>
  <c r="K70" i="8" s="1"/>
  <c r="L70" i="8" s="1"/>
  <c r="J71" i="8"/>
  <c r="K71" i="8" s="1"/>
  <c r="L71" i="8" s="1"/>
  <c r="J72" i="8"/>
  <c r="K72" i="8" s="1"/>
  <c r="L72" i="8" s="1"/>
  <c r="J73" i="8"/>
  <c r="K73" i="8" s="1"/>
  <c r="L73" i="8" s="1"/>
  <c r="J74" i="8"/>
  <c r="K74" i="8" s="1"/>
  <c r="L74" i="8" s="1"/>
  <c r="J75" i="8"/>
  <c r="K75" i="8" s="1"/>
  <c r="L75" i="8" s="1"/>
  <c r="J76" i="8"/>
  <c r="K76" i="8" s="1"/>
  <c r="L76" i="8" s="1"/>
  <c r="J77" i="8"/>
  <c r="K77" i="8" s="1"/>
  <c r="L77" i="8" s="1"/>
  <c r="J78" i="8"/>
  <c r="K78" i="8" s="1"/>
  <c r="L78" i="8" s="1"/>
  <c r="J79" i="8"/>
  <c r="K79" i="8" s="1"/>
  <c r="L79" i="8" s="1"/>
  <c r="J80" i="8"/>
  <c r="K80" i="8" s="1"/>
  <c r="L80" i="8" s="1"/>
  <c r="J81" i="8"/>
  <c r="K81" i="8" s="1"/>
  <c r="L81" i="8" s="1"/>
  <c r="J67" i="8"/>
  <c r="K67" i="8" s="1"/>
  <c r="L67" i="8" s="1"/>
  <c r="J64" i="8"/>
  <c r="K64" i="8" s="1"/>
  <c r="L64" i="8" s="1"/>
  <c r="J65" i="8"/>
  <c r="K65" i="8" s="1"/>
  <c r="L65" i="8" s="1"/>
  <c r="J63" i="8"/>
  <c r="K63" i="8" s="1"/>
  <c r="L63" i="8" s="1"/>
  <c r="J58" i="8"/>
  <c r="K58" i="8" s="1"/>
  <c r="L58" i="8" s="1"/>
  <c r="J59" i="8"/>
  <c r="K59" i="8" s="1"/>
  <c r="L59" i="8" s="1"/>
  <c r="J60" i="8"/>
  <c r="K60" i="8" s="1"/>
  <c r="L60" i="8" s="1"/>
  <c r="J61" i="8"/>
  <c r="K61" i="8" s="1"/>
  <c r="L61" i="8" s="1"/>
  <c r="J57" i="8"/>
  <c r="K57" i="8" s="1"/>
  <c r="L57" i="8" s="1"/>
  <c r="J54" i="8"/>
  <c r="K54" i="8" s="1"/>
  <c r="L54" i="8" s="1"/>
  <c r="J50" i="8"/>
  <c r="K50" i="8" s="1"/>
  <c r="L50" i="8" s="1"/>
  <c r="J51" i="8"/>
  <c r="K51" i="8" s="1"/>
  <c r="L51" i="8" s="1"/>
  <c r="J52" i="8"/>
  <c r="K52" i="8" s="1"/>
  <c r="L52" i="8" s="1"/>
  <c r="J49" i="8"/>
  <c r="K49" i="8" s="1"/>
  <c r="L49" i="8" s="1"/>
  <c r="J36" i="8"/>
  <c r="K36" i="8" s="1"/>
  <c r="L36" i="8" s="1"/>
  <c r="J37" i="8"/>
  <c r="K37" i="8" s="1"/>
  <c r="L37" i="8" s="1"/>
  <c r="J38" i="8"/>
  <c r="K38" i="8" s="1"/>
  <c r="L38" i="8" s="1"/>
  <c r="J39" i="8"/>
  <c r="K39" i="8" s="1"/>
  <c r="L39" i="8" s="1"/>
  <c r="J40" i="8"/>
  <c r="K40" i="8" s="1"/>
  <c r="L40" i="8" s="1"/>
  <c r="J41" i="8"/>
  <c r="K41" i="8" s="1"/>
  <c r="L41" i="8" s="1"/>
  <c r="J35" i="8"/>
  <c r="K35" i="8" s="1"/>
  <c r="L35" i="8" s="1"/>
  <c r="J32" i="8"/>
  <c r="K32" i="8" s="1"/>
  <c r="L32" i="8" s="1"/>
  <c r="J31" i="8"/>
  <c r="K31" i="8" s="1"/>
  <c r="L31" i="8" s="1"/>
  <c r="J26" i="8"/>
  <c r="K26" i="8" s="1"/>
  <c r="L26" i="8" s="1"/>
  <c r="J27" i="8"/>
  <c r="K27" i="8" s="1"/>
  <c r="L27" i="8" s="1"/>
  <c r="J28" i="8"/>
  <c r="K28" i="8" s="1"/>
  <c r="L28" i="8" s="1"/>
  <c r="J29" i="8"/>
  <c r="K29" i="8" s="1"/>
  <c r="L29" i="8" s="1"/>
  <c r="J25" i="8"/>
  <c r="K25" i="8" s="1"/>
  <c r="L25" i="8" s="1"/>
  <c r="J19" i="8"/>
  <c r="K19" i="8" s="1"/>
  <c r="L19" i="8" s="1"/>
  <c r="J20" i="8"/>
  <c r="K20" i="8" s="1"/>
  <c r="L20" i="8" s="1"/>
  <c r="J21" i="8"/>
  <c r="K21" i="8" s="1"/>
  <c r="L21" i="8" s="1"/>
  <c r="J13" i="8"/>
  <c r="K13" i="8" s="1"/>
  <c r="L13" i="8" s="1"/>
  <c r="J18" i="8"/>
  <c r="K18" i="8" s="1"/>
  <c r="T101" i="20" l="1"/>
  <c r="Q101" i="20"/>
  <c r="Q105" i="20"/>
  <c r="T105" i="20"/>
  <c r="Q102" i="20"/>
  <c r="T102" i="20"/>
  <c r="Q103" i="20"/>
  <c r="T103" i="20"/>
  <c r="S11" i="8"/>
  <c r="L18" i="8"/>
  <c r="N33" i="8"/>
  <c r="M39" i="8"/>
  <c r="M76" i="8"/>
  <c r="M21" i="11"/>
  <c r="N47" i="12"/>
  <c r="O47" i="12" s="1"/>
  <c r="P47" i="12" s="1"/>
  <c r="Q47" i="12" s="1"/>
  <c r="N179" i="12"/>
  <c r="M64" i="8"/>
  <c r="M75" i="8"/>
  <c r="M82" i="8"/>
  <c r="N82" i="8" s="1"/>
  <c r="P82" i="8" s="1"/>
  <c r="M99" i="8"/>
  <c r="M107" i="8"/>
  <c r="M111" i="8"/>
  <c r="M169" i="8"/>
  <c r="N169" i="8" s="1"/>
  <c r="M177" i="8"/>
  <c r="M11" i="9"/>
  <c r="N44" i="10"/>
  <c r="M28" i="11"/>
  <c r="M20" i="11"/>
  <c r="M14" i="11"/>
  <c r="N5" i="12"/>
  <c r="N16" i="12"/>
  <c r="N26" i="12"/>
  <c r="N34" i="12"/>
  <c r="N46" i="12"/>
  <c r="N52" i="12"/>
  <c r="N76" i="12"/>
  <c r="N68" i="12"/>
  <c r="N85" i="12"/>
  <c r="N102" i="12"/>
  <c r="O102" i="12" s="1"/>
  <c r="P102" i="12" s="1"/>
  <c r="Q102" i="12" s="1"/>
  <c r="N94" i="12"/>
  <c r="N113" i="12"/>
  <c r="N123" i="12"/>
  <c r="N127" i="12"/>
  <c r="O127" i="12" s="1"/>
  <c r="P127" i="12" s="1"/>
  <c r="Q127" i="12" s="1"/>
  <c r="N142" i="12"/>
  <c r="N153" i="12"/>
  <c r="N178" i="12"/>
  <c r="N169" i="12"/>
  <c r="N160" i="12"/>
  <c r="N192" i="12"/>
  <c r="N197" i="12"/>
  <c r="N210" i="12"/>
  <c r="N202" i="12"/>
  <c r="M108" i="8"/>
  <c r="N13" i="12"/>
  <c r="N69" i="12"/>
  <c r="O69" i="12" s="1"/>
  <c r="P69" i="12" s="1"/>
  <c r="Q69" i="12" s="1"/>
  <c r="N128" i="12"/>
  <c r="N195" i="12"/>
  <c r="M84" i="8"/>
  <c r="M129" i="8"/>
  <c r="M168" i="8"/>
  <c r="M5" i="9"/>
  <c r="M27" i="11"/>
  <c r="M19" i="11"/>
  <c r="M13" i="11"/>
  <c r="N9" i="12"/>
  <c r="N18" i="12"/>
  <c r="N27" i="12"/>
  <c r="N38" i="12"/>
  <c r="N45" i="12"/>
  <c r="N63" i="12"/>
  <c r="N75" i="12"/>
  <c r="O75" i="12" s="1"/>
  <c r="P75" i="12" s="1"/>
  <c r="Q75" i="12" s="1"/>
  <c r="N67" i="12"/>
  <c r="N84" i="12"/>
  <c r="N101" i="12"/>
  <c r="N93" i="12"/>
  <c r="N112" i="12"/>
  <c r="N122" i="12"/>
  <c r="N126" i="12"/>
  <c r="N141" i="12"/>
  <c r="N152" i="12"/>
  <c r="N177" i="12"/>
  <c r="N168" i="12"/>
  <c r="N159" i="12"/>
  <c r="N191" i="12"/>
  <c r="N196" i="12"/>
  <c r="N209" i="12"/>
  <c r="N201" i="12"/>
  <c r="O201" i="12" s="1"/>
  <c r="P201" i="12" s="1"/>
  <c r="Q201" i="12" s="1"/>
  <c r="M54" i="8"/>
  <c r="M68" i="8"/>
  <c r="M112" i="8"/>
  <c r="M167" i="8"/>
  <c r="M12" i="9"/>
  <c r="M15" i="11"/>
  <c r="N77" i="12"/>
  <c r="N121" i="12"/>
  <c r="O121" i="12" s="1"/>
  <c r="P121" i="12" s="1"/>
  <c r="Q121" i="12" s="1"/>
  <c r="N203" i="12"/>
  <c r="M37" i="8"/>
  <c r="M81" i="8"/>
  <c r="M105" i="8"/>
  <c r="M26" i="11"/>
  <c r="M18" i="11"/>
  <c r="M5" i="11"/>
  <c r="N8" i="12"/>
  <c r="N17" i="12"/>
  <c r="O17" i="12" s="1"/>
  <c r="P17" i="12" s="1"/>
  <c r="Q17" i="12" s="1"/>
  <c r="N29" i="12"/>
  <c r="N40" i="12"/>
  <c r="N44" i="12"/>
  <c r="O44" i="12" s="1"/>
  <c r="P44" i="12" s="1"/>
  <c r="Q44" i="12" s="1"/>
  <c r="N62" i="12"/>
  <c r="N74" i="12"/>
  <c r="N79" i="12"/>
  <c r="O79" i="12" s="1"/>
  <c r="P79" i="12" s="1"/>
  <c r="Q79" i="12" s="1"/>
  <c r="N83" i="12"/>
  <c r="N100" i="12"/>
  <c r="N105" i="12"/>
  <c r="N111" i="12"/>
  <c r="N125" i="12"/>
  <c r="N134" i="12"/>
  <c r="O134" i="12" s="1"/>
  <c r="P134" i="12" s="1"/>
  <c r="Q134" i="12" s="1"/>
  <c r="N140" i="12"/>
  <c r="N151" i="12"/>
  <c r="N176" i="12"/>
  <c r="O176" i="12" s="1"/>
  <c r="P176" i="12" s="1"/>
  <c r="Q176" i="12" s="1"/>
  <c r="N167" i="12"/>
  <c r="N158" i="12"/>
  <c r="N190" i="12"/>
  <c r="O190" i="12" s="1"/>
  <c r="P190" i="12" s="1"/>
  <c r="Q190" i="12" s="1"/>
  <c r="N199" i="12"/>
  <c r="N208" i="12"/>
  <c r="O208" i="12" s="1"/>
  <c r="P208" i="12" s="1"/>
  <c r="Q208" i="12" s="1"/>
  <c r="N200" i="12"/>
  <c r="M26" i="8"/>
  <c r="M176" i="8"/>
  <c r="N21" i="12"/>
  <c r="O21" i="12" s="1"/>
  <c r="P21" i="12" s="1"/>
  <c r="Q21" i="12" s="1"/>
  <c r="N86" i="12"/>
  <c r="N170" i="12"/>
  <c r="O170" i="12" s="1"/>
  <c r="P170" i="12" s="1"/>
  <c r="Q170" i="12" s="1"/>
  <c r="M38" i="8"/>
  <c r="N38" i="8" s="1"/>
  <c r="M67" i="8"/>
  <c r="M106" i="8"/>
  <c r="M61" i="8"/>
  <c r="M73" i="8"/>
  <c r="M97" i="8"/>
  <c r="M133" i="8"/>
  <c r="N133" i="8" s="1"/>
  <c r="M72" i="8"/>
  <c r="M96" i="8"/>
  <c r="N96" i="8" s="1"/>
  <c r="M132" i="8"/>
  <c r="M6" i="11"/>
  <c r="M25" i="11"/>
  <c r="M12" i="11"/>
  <c r="N12" i="11" s="1"/>
  <c r="O12" i="11" s="1"/>
  <c r="P12" i="11" s="1"/>
  <c r="N7" i="12"/>
  <c r="N20" i="12"/>
  <c r="O20" i="12" s="1"/>
  <c r="P20" i="12" s="1"/>
  <c r="Q20" i="12" s="1"/>
  <c r="N31" i="12"/>
  <c r="O31" i="12" s="1"/>
  <c r="P31" i="12" s="1"/>
  <c r="Q31" i="12" s="1"/>
  <c r="N39" i="12"/>
  <c r="N43" i="12"/>
  <c r="N61" i="12"/>
  <c r="N73" i="12"/>
  <c r="N90" i="12"/>
  <c r="N82" i="12"/>
  <c r="N99" i="12"/>
  <c r="O99" i="12" s="1"/>
  <c r="P99" i="12" s="1"/>
  <c r="Q99" i="12" s="1"/>
  <c r="N108" i="12"/>
  <c r="O108" i="12" s="1"/>
  <c r="P108" i="12" s="1"/>
  <c r="Q108" i="12" s="1"/>
  <c r="N116" i="12"/>
  <c r="N132" i="12"/>
  <c r="N133" i="12"/>
  <c r="O133" i="12" s="1"/>
  <c r="P133" i="12" s="1"/>
  <c r="Q133" i="12" s="1"/>
  <c r="N139" i="12"/>
  <c r="N150" i="12"/>
  <c r="N175" i="12"/>
  <c r="N165" i="12"/>
  <c r="N180" i="12"/>
  <c r="N189" i="12"/>
  <c r="O189" i="12" s="1"/>
  <c r="P189" i="12" s="1"/>
  <c r="Q189" i="12" s="1"/>
  <c r="N215" i="12"/>
  <c r="N207" i="12"/>
  <c r="N216" i="12"/>
  <c r="O216" i="12" s="1"/>
  <c r="P216" i="12" s="1"/>
  <c r="Q216" i="12" s="1"/>
  <c r="N46" i="10"/>
  <c r="N193" i="12"/>
  <c r="M98" i="8"/>
  <c r="M8" i="9"/>
  <c r="M25" i="8"/>
  <c r="M80" i="8"/>
  <c r="M85" i="8"/>
  <c r="M104" i="8"/>
  <c r="M17" i="11"/>
  <c r="M29" i="8"/>
  <c r="M35" i="8"/>
  <c r="M52" i="8"/>
  <c r="M59" i="8"/>
  <c r="M79" i="8"/>
  <c r="M71" i="8"/>
  <c r="M88" i="8"/>
  <c r="M95" i="8"/>
  <c r="M110" i="8"/>
  <c r="M131" i="8"/>
  <c r="N18" i="10"/>
  <c r="M24" i="11"/>
  <c r="M3" i="11"/>
  <c r="M11" i="11"/>
  <c r="N6" i="12"/>
  <c r="N24" i="12"/>
  <c r="O24" i="12" s="1"/>
  <c r="P24" i="12" s="1"/>
  <c r="Q24" i="12" s="1"/>
  <c r="N30" i="12"/>
  <c r="N42" i="12"/>
  <c r="N51" i="12"/>
  <c r="N72" i="12"/>
  <c r="N89" i="12"/>
  <c r="N81" i="12"/>
  <c r="N98" i="12"/>
  <c r="N107" i="12"/>
  <c r="O107" i="12" s="1"/>
  <c r="P107" i="12" s="1"/>
  <c r="Q107" i="12" s="1"/>
  <c r="N119" i="12"/>
  <c r="N131" i="12"/>
  <c r="N137" i="12"/>
  <c r="N138" i="12"/>
  <c r="N149" i="12"/>
  <c r="N173" i="12"/>
  <c r="N164" i="12"/>
  <c r="N182" i="12"/>
  <c r="N188" i="12"/>
  <c r="N214" i="12"/>
  <c r="N206" i="12"/>
  <c r="M65" i="8"/>
  <c r="M93" i="8"/>
  <c r="M29" i="11"/>
  <c r="N35" i="12"/>
  <c r="N103" i="12"/>
  <c r="N161" i="12"/>
  <c r="M74" i="8"/>
  <c r="M86" i="8"/>
  <c r="M49" i="8"/>
  <c r="N49" i="8" s="1"/>
  <c r="P49" i="8" s="1"/>
  <c r="M41" i="8"/>
  <c r="M58" i="8"/>
  <c r="N58" i="8" s="1"/>
  <c r="P58" i="8" s="1"/>
  <c r="M78" i="8"/>
  <c r="M89" i="8"/>
  <c r="M94" i="8"/>
  <c r="M114" i="8"/>
  <c r="N114" i="8" s="1"/>
  <c r="M130" i="8"/>
  <c r="M4" i="11"/>
  <c r="N4" i="11" s="1"/>
  <c r="O4" i="11" s="1"/>
  <c r="P4" i="11" s="1"/>
  <c r="M23" i="11"/>
  <c r="N23" i="11" s="1"/>
  <c r="O23" i="11" s="1"/>
  <c r="P23" i="11" s="1"/>
  <c r="M9" i="11"/>
  <c r="M7" i="11"/>
  <c r="N12" i="12"/>
  <c r="N23" i="12"/>
  <c r="N33" i="12"/>
  <c r="N49" i="12"/>
  <c r="N55" i="12"/>
  <c r="O55" i="12" s="1"/>
  <c r="P55" i="12" s="1"/>
  <c r="Q55" i="12" s="1"/>
  <c r="N71" i="12"/>
  <c r="N88" i="12"/>
  <c r="O88" i="12" s="1"/>
  <c r="P88" i="12" s="1"/>
  <c r="Q88" i="12" s="1"/>
  <c r="N80" i="12"/>
  <c r="N97" i="12"/>
  <c r="O97" i="12" s="1"/>
  <c r="P97" i="12" s="1"/>
  <c r="Q97" i="12" s="1"/>
  <c r="N106" i="12"/>
  <c r="N118" i="12"/>
  <c r="N130" i="12"/>
  <c r="N145" i="12"/>
  <c r="N147" i="12"/>
  <c r="O147" i="12" s="1"/>
  <c r="P147" i="12" s="1"/>
  <c r="Q147" i="12" s="1"/>
  <c r="N148" i="12"/>
  <c r="O148" i="12" s="1"/>
  <c r="P148" i="12" s="1"/>
  <c r="Q148" i="12" s="1"/>
  <c r="N172" i="12"/>
  <c r="N163" i="12"/>
  <c r="N183" i="12"/>
  <c r="O183" i="12" s="1"/>
  <c r="P183" i="12" s="1"/>
  <c r="Q183" i="12" s="1"/>
  <c r="N187" i="12"/>
  <c r="N213" i="12"/>
  <c r="N205" i="12"/>
  <c r="O205" i="12" s="1"/>
  <c r="P205" i="12" s="1"/>
  <c r="Q205" i="12" s="1"/>
  <c r="M8" i="11"/>
  <c r="N53" i="12"/>
  <c r="N95" i="12"/>
  <c r="N114" i="12"/>
  <c r="N143" i="12"/>
  <c r="N154" i="12"/>
  <c r="O154" i="12" s="1"/>
  <c r="P154" i="12" s="1"/>
  <c r="Q154" i="12" s="1"/>
  <c r="N211" i="12"/>
  <c r="M57" i="8"/>
  <c r="N57" i="8" s="1"/>
  <c r="P57" i="8" s="1"/>
  <c r="M36" i="8"/>
  <c r="M60" i="8"/>
  <c r="M28" i="8"/>
  <c r="M51" i="8"/>
  <c r="M70" i="8"/>
  <c r="M27" i="8"/>
  <c r="M40" i="8"/>
  <c r="N40" i="8" s="1"/>
  <c r="M50" i="8"/>
  <c r="N50" i="8" s="1"/>
  <c r="P50" i="8" s="1"/>
  <c r="M63" i="8"/>
  <c r="M77" i="8"/>
  <c r="M69" i="8"/>
  <c r="N69" i="8" s="1"/>
  <c r="P69" i="8" s="1"/>
  <c r="M91" i="8"/>
  <c r="M103" i="8"/>
  <c r="M113" i="8"/>
  <c r="M10" i="9"/>
  <c r="N47" i="10"/>
  <c r="M30" i="11"/>
  <c r="M22" i="11"/>
  <c r="M16" i="11"/>
  <c r="N16" i="11" s="1"/>
  <c r="O16" i="11" s="1"/>
  <c r="P16" i="11" s="1"/>
  <c r="M10" i="11"/>
  <c r="N14" i="12"/>
  <c r="O14" i="12" s="1"/>
  <c r="P14" i="12" s="1"/>
  <c r="Q14" i="12" s="1"/>
  <c r="N22" i="12"/>
  <c r="N36" i="12"/>
  <c r="N48" i="12"/>
  <c r="N54" i="12"/>
  <c r="N66" i="12"/>
  <c r="N70" i="12"/>
  <c r="O70" i="12" s="1"/>
  <c r="P70" i="12" s="1"/>
  <c r="Q70" i="12" s="1"/>
  <c r="N87" i="12"/>
  <c r="O87" i="12" s="1"/>
  <c r="P87" i="12" s="1"/>
  <c r="Q87" i="12" s="1"/>
  <c r="N92" i="12"/>
  <c r="N96" i="12"/>
  <c r="N110" i="12"/>
  <c r="N117" i="12"/>
  <c r="N129" i="12"/>
  <c r="N144" i="12"/>
  <c r="N155" i="12"/>
  <c r="O155" i="12" s="1"/>
  <c r="P155" i="12" s="1"/>
  <c r="Q155" i="12" s="1"/>
  <c r="N157" i="12"/>
  <c r="N171" i="12"/>
  <c r="O171" i="12" s="1"/>
  <c r="P171" i="12" s="1"/>
  <c r="Q171" i="12" s="1"/>
  <c r="N162" i="12"/>
  <c r="N185" i="12"/>
  <c r="N186" i="12"/>
  <c r="N212" i="12"/>
  <c r="N204" i="12"/>
  <c r="M32" i="8"/>
  <c r="N32" i="8" s="1"/>
  <c r="M31" i="8"/>
  <c r="R12" i="8" l="1"/>
  <c r="S12" i="8"/>
  <c r="N25" i="8"/>
  <c r="AB11" i="8"/>
  <c r="O6" i="12"/>
  <c r="P6" i="12" s="1"/>
  <c r="Q6" i="12" s="1"/>
  <c r="O43" i="12"/>
  <c r="P43" i="12" s="1"/>
  <c r="Q43" i="12" s="1"/>
  <c r="N12" i="9"/>
  <c r="O12" i="9" s="1"/>
  <c r="P12" i="9" s="1"/>
  <c r="N75" i="8"/>
  <c r="P75" i="8" s="1"/>
  <c r="O144" i="12"/>
  <c r="P144" i="12" s="1"/>
  <c r="Q144" i="12" s="1"/>
  <c r="N36" i="8"/>
  <c r="O114" i="12"/>
  <c r="P114" i="12" s="1"/>
  <c r="Q114" i="12" s="1"/>
  <c r="O145" i="12"/>
  <c r="P145" i="12" s="1"/>
  <c r="Q145" i="12" s="1"/>
  <c r="N7" i="11"/>
  <c r="O7" i="11" s="1"/>
  <c r="P7" i="11" s="1"/>
  <c r="N65" i="8"/>
  <c r="P65" i="8" s="1"/>
  <c r="O138" i="12"/>
  <c r="P138" i="12" s="1"/>
  <c r="Q138" i="12" s="1"/>
  <c r="O89" i="12"/>
  <c r="P89" i="12" s="1"/>
  <c r="Q89" i="12" s="1"/>
  <c r="N11" i="11"/>
  <c r="O11" i="11" s="1"/>
  <c r="P11" i="11" s="1"/>
  <c r="N88" i="8"/>
  <c r="P88" i="8" s="1"/>
  <c r="N104" i="8"/>
  <c r="O175" i="12"/>
  <c r="P175" i="12" s="1"/>
  <c r="Q175" i="12" s="1"/>
  <c r="O39" i="12"/>
  <c r="P39" i="12" s="1"/>
  <c r="Q39" i="12" s="1"/>
  <c r="N25" i="11"/>
  <c r="O25" i="11" s="1"/>
  <c r="P25" i="11" s="1"/>
  <c r="N97" i="8"/>
  <c r="O151" i="12"/>
  <c r="P151" i="12" s="1"/>
  <c r="Q151" i="12" s="1"/>
  <c r="O83" i="12"/>
  <c r="P83" i="12" s="1"/>
  <c r="Q83" i="12" s="1"/>
  <c r="O29" i="12"/>
  <c r="P29" i="12" s="1"/>
  <c r="Q29" i="12" s="1"/>
  <c r="N81" i="8"/>
  <c r="P81" i="8" s="1"/>
  <c r="O191" i="12"/>
  <c r="P191" i="12" s="1"/>
  <c r="Q191" i="12" s="1"/>
  <c r="O112" i="12"/>
  <c r="P112" i="12" s="1"/>
  <c r="Q112" i="12" s="1"/>
  <c r="O45" i="12"/>
  <c r="P45" i="12" s="1"/>
  <c r="Q45" i="12" s="1"/>
  <c r="N5" i="9"/>
  <c r="O13" i="12"/>
  <c r="P13" i="12" s="1"/>
  <c r="Q13" i="12" s="1"/>
  <c r="O178" i="12"/>
  <c r="P178" i="12" s="1"/>
  <c r="Q178" i="12" s="1"/>
  <c r="O26" i="12"/>
  <c r="P26" i="12" s="1"/>
  <c r="Q26" i="12" s="1"/>
  <c r="N64" i="8"/>
  <c r="P64" i="8" s="1"/>
  <c r="O46" i="10"/>
  <c r="P46" i="10" s="1"/>
  <c r="Q46" i="10" s="1"/>
  <c r="N105" i="8"/>
  <c r="O63" i="12"/>
  <c r="P63" i="12" s="1"/>
  <c r="Q63" i="12" s="1"/>
  <c r="O185" i="12"/>
  <c r="P185" i="12" s="1"/>
  <c r="Q185" i="12" s="1"/>
  <c r="N10" i="11"/>
  <c r="O10" i="11" s="1"/>
  <c r="P10" i="11" s="1"/>
  <c r="O95" i="12"/>
  <c r="P95" i="12" s="1"/>
  <c r="Q95" i="12" s="1"/>
  <c r="O130" i="12"/>
  <c r="P130" i="12" s="1"/>
  <c r="Q130" i="12" s="1"/>
  <c r="O71" i="12"/>
  <c r="P71" i="12" s="1"/>
  <c r="Q71" i="12" s="1"/>
  <c r="N9" i="11"/>
  <c r="O9" i="11" s="1"/>
  <c r="P9" i="11" s="1"/>
  <c r="N94" i="8"/>
  <c r="N86" i="8"/>
  <c r="P86" i="8" s="1"/>
  <c r="O206" i="12"/>
  <c r="P206" i="12" s="1"/>
  <c r="Q206" i="12" s="1"/>
  <c r="O137" i="12"/>
  <c r="P137" i="12" s="1"/>
  <c r="Q137" i="12" s="1"/>
  <c r="O72" i="12"/>
  <c r="P72" i="12" s="1"/>
  <c r="Q72" i="12" s="1"/>
  <c r="N3" i="11"/>
  <c r="O3" i="11" s="1"/>
  <c r="P3" i="11" s="1"/>
  <c r="N71" i="8"/>
  <c r="P71" i="8" s="1"/>
  <c r="N85" i="8"/>
  <c r="P85" i="8" s="1"/>
  <c r="O150" i="12"/>
  <c r="P150" i="12" s="1"/>
  <c r="Q150" i="12" s="1"/>
  <c r="N6" i="11"/>
  <c r="O6" i="11" s="1"/>
  <c r="P6" i="11" s="1"/>
  <c r="N73" i="8"/>
  <c r="P73" i="8" s="1"/>
  <c r="O86" i="12"/>
  <c r="P86" i="12" s="1"/>
  <c r="Q86" i="12" s="1"/>
  <c r="O199" i="12"/>
  <c r="P199" i="12" s="1"/>
  <c r="Q199" i="12" s="1"/>
  <c r="O140" i="12"/>
  <c r="P140" i="12" s="1"/>
  <c r="Q140" i="12" s="1"/>
  <c r="N37" i="8"/>
  <c r="O159" i="12"/>
  <c r="P159" i="12" s="1"/>
  <c r="Q159" i="12" s="1"/>
  <c r="O93" i="12"/>
  <c r="P93" i="12" s="1"/>
  <c r="Q93" i="12" s="1"/>
  <c r="O38" i="12"/>
  <c r="P38" i="12" s="1"/>
  <c r="Q38" i="12" s="1"/>
  <c r="O153" i="12"/>
  <c r="P153" i="12" s="1"/>
  <c r="Q153" i="12" s="1"/>
  <c r="O16" i="12"/>
  <c r="P16" i="12" s="1"/>
  <c r="Q16" i="12" s="1"/>
  <c r="O179" i="12"/>
  <c r="P179" i="12" s="1"/>
  <c r="Q179" i="12" s="1"/>
  <c r="N10" i="9"/>
  <c r="O10" i="9" s="1"/>
  <c r="P10" i="9" s="1"/>
  <c r="N17" i="11"/>
  <c r="O17" i="11" s="1"/>
  <c r="P17" i="11" s="1"/>
  <c r="N11" i="9"/>
  <c r="O11" i="9" s="1"/>
  <c r="P11" i="9" s="1"/>
  <c r="O186" i="12"/>
  <c r="P186" i="12" s="1"/>
  <c r="Q186" i="12" s="1"/>
  <c r="O129" i="12"/>
  <c r="P129" i="12" s="1"/>
  <c r="Q129" i="12" s="1"/>
  <c r="N103" i="8"/>
  <c r="O162" i="12"/>
  <c r="P162" i="12" s="1"/>
  <c r="Q162" i="12" s="1"/>
  <c r="O117" i="12"/>
  <c r="P117" i="12" s="1"/>
  <c r="Q117" i="12" s="1"/>
  <c r="O66" i="12"/>
  <c r="P66" i="12" s="1"/>
  <c r="Q66" i="12" s="1"/>
  <c r="N91" i="8"/>
  <c r="P91" i="8" s="1"/>
  <c r="O53" i="12"/>
  <c r="P53" i="12" s="1"/>
  <c r="Q53" i="12" s="1"/>
  <c r="O163" i="12"/>
  <c r="P163" i="12" s="1"/>
  <c r="Q163" i="12" s="1"/>
  <c r="O118" i="12"/>
  <c r="P118" i="12" s="1"/>
  <c r="Q118" i="12" s="1"/>
  <c r="N89" i="8"/>
  <c r="P89" i="8" s="1"/>
  <c r="N74" i="8"/>
  <c r="P74" i="8" s="1"/>
  <c r="O214" i="12"/>
  <c r="P214" i="12" s="1"/>
  <c r="Q214" i="12" s="1"/>
  <c r="O131" i="12"/>
  <c r="P131" i="12" s="1"/>
  <c r="Q131" i="12" s="1"/>
  <c r="O51" i="12"/>
  <c r="P51" i="12" s="1"/>
  <c r="Q51" i="12" s="1"/>
  <c r="N24" i="11"/>
  <c r="O24" i="11" s="1"/>
  <c r="P24" i="11" s="1"/>
  <c r="N79" i="8"/>
  <c r="P79" i="8" s="1"/>
  <c r="N80" i="8"/>
  <c r="P80" i="8" s="1"/>
  <c r="O207" i="12"/>
  <c r="P207" i="12" s="1"/>
  <c r="Q207" i="12" s="1"/>
  <c r="O139" i="12"/>
  <c r="P139" i="12" s="1"/>
  <c r="Q139" i="12" s="1"/>
  <c r="N61" i="8"/>
  <c r="P61" i="8" s="1"/>
  <c r="O203" i="12"/>
  <c r="P203" i="12" s="1"/>
  <c r="Q203" i="12" s="1"/>
  <c r="N68" i="8"/>
  <c r="P68" i="8" s="1"/>
  <c r="O168" i="12"/>
  <c r="P168" i="12" s="1"/>
  <c r="Q168" i="12" s="1"/>
  <c r="O101" i="12"/>
  <c r="P101" i="12" s="1"/>
  <c r="Q101" i="12" s="1"/>
  <c r="O27" i="12"/>
  <c r="P27" i="12" s="1"/>
  <c r="Q27" i="12" s="1"/>
  <c r="O202" i="12"/>
  <c r="P202" i="12" s="1"/>
  <c r="Q202" i="12" s="1"/>
  <c r="O142" i="12"/>
  <c r="P142" i="12" s="1"/>
  <c r="Q142" i="12" s="1"/>
  <c r="O85" i="12"/>
  <c r="P85" i="12" s="1"/>
  <c r="Q85" i="12" s="1"/>
  <c r="O5" i="12"/>
  <c r="P5" i="12" s="1"/>
  <c r="Q5" i="12" s="1"/>
  <c r="O143" i="12"/>
  <c r="P143" i="12" s="1"/>
  <c r="Q143" i="12" s="1"/>
  <c r="O149" i="12"/>
  <c r="P149" i="12" s="1"/>
  <c r="Q149" i="12" s="1"/>
  <c r="O54" i="12"/>
  <c r="P54" i="12" s="1"/>
  <c r="Q54" i="12" s="1"/>
  <c r="N8" i="11"/>
  <c r="O8" i="11" s="1"/>
  <c r="P8" i="11" s="1"/>
  <c r="O172" i="12"/>
  <c r="P172" i="12" s="1"/>
  <c r="Q172" i="12" s="1"/>
  <c r="N78" i="8"/>
  <c r="P78" i="8" s="1"/>
  <c r="O161" i="12"/>
  <c r="P161" i="12" s="1"/>
  <c r="Q161" i="12" s="1"/>
  <c r="O188" i="12"/>
  <c r="P188" i="12" s="1"/>
  <c r="Q188" i="12" s="1"/>
  <c r="O119" i="12"/>
  <c r="P119" i="12" s="1"/>
  <c r="Q119" i="12" s="1"/>
  <c r="O42" i="12"/>
  <c r="P42" i="12" s="1"/>
  <c r="Q42" i="12" s="1"/>
  <c r="N59" i="8"/>
  <c r="P59" i="8" s="1"/>
  <c r="O215" i="12"/>
  <c r="P215" i="12" s="1"/>
  <c r="Q215" i="12" s="1"/>
  <c r="O82" i="12"/>
  <c r="P82" i="12" s="1"/>
  <c r="Q82" i="12" s="1"/>
  <c r="N106" i="8"/>
  <c r="O74" i="12"/>
  <c r="P74" i="12" s="1"/>
  <c r="Q74" i="12" s="1"/>
  <c r="N54" i="8"/>
  <c r="P54" i="8" s="1"/>
  <c r="O177" i="12"/>
  <c r="P177" i="12" s="1"/>
  <c r="Q177" i="12" s="1"/>
  <c r="O84" i="12"/>
  <c r="P84" i="12" s="1"/>
  <c r="Q84" i="12" s="1"/>
  <c r="O18" i="12"/>
  <c r="P18" i="12" s="1"/>
  <c r="Q18" i="12" s="1"/>
  <c r="N84" i="8"/>
  <c r="P84" i="8" s="1"/>
  <c r="O210" i="12"/>
  <c r="P210" i="12" s="1"/>
  <c r="Q210" i="12" s="1"/>
  <c r="O68" i="12"/>
  <c r="P68" i="12" s="1"/>
  <c r="Q68" i="12" s="1"/>
  <c r="N14" i="11"/>
  <c r="O14" i="11" s="1"/>
  <c r="P14" i="11" s="1"/>
  <c r="O81" i="12"/>
  <c r="P81" i="12" s="1"/>
  <c r="Q81" i="12" s="1"/>
  <c r="O196" i="12"/>
  <c r="P196" i="12" s="1"/>
  <c r="Q196" i="12" s="1"/>
  <c r="O169" i="12"/>
  <c r="P169" i="12" s="1"/>
  <c r="Q169" i="12" s="1"/>
  <c r="N31" i="8"/>
  <c r="O110" i="12"/>
  <c r="P110" i="12" s="1"/>
  <c r="Q110" i="12" s="1"/>
  <c r="N27" i="8"/>
  <c r="O106" i="12"/>
  <c r="P106" i="12" s="1"/>
  <c r="Q106" i="12" s="1"/>
  <c r="O96" i="12"/>
  <c r="P96" i="12" s="1"/>
  <c r="Q96" i="12" s="1"/>
  <c r="O48" i="12"/>
  <c r="P48" i="12" s="1"/>
  <c r="Q48" i="12" s="1"/>
  <c r="N22" i="11"/>
  <c r="O22" i="11" s="1"/>
  <c r="P22" i="11" s="1"/>
  <c r="N70" i="8"/>
  <c r="P70" i="8" s="1"/>
  <c r="O211" i="12"/>
  <c r="P211" i="12" s="1"/>
  <c r="Q211" i="12" s="1"/>
  <c r="O49" i="12"/>
  <c r="P49" i="12" s="1"/>
  <c r="Q49" i="12" s="1"/>
  <c r="O103" i="12"/>
  <c r="P103" i="12" s="1"/>
  <c r="Q103" i="12" s="1"/>
  <c r="O182" i="12"/>
  <c r="P182" i="12" s="1"/>
  <c r="Q182" i="12" s="1"/>
  <c r="O30" i="12"/>
  <c r="P30" i="12" s="1"/>
  <c r="Q30" i="12" s="1"/>
  <c r="O18" i="10"/>
  <c r="N52" i="8"/>
  <c r="P52" i="8" s="1"/>
  <c r="N8" i="9"/>
  <c r="O8" i="9" s="1"/>
  <c r="O90" i="12"/>
  <c r="P90" i="12" s="1"/>
  <c r="Q90" i="12" s="1"/>
  <c r="N67" i="8"/>
  <c r="P67" i="8" s="1"/>
  <c r="O158" i="12"/>
  <c r="P158" i="12" s="1"/>
  <c r="Q158" i="12" s="1"/>
  <c r="O125" i="12"/>
  <c r="P125" i="12" s="1"/>
  <c r="Q125" i="12" s="1"/>
  <c r="O62" i="12"/>
  <c r="P62" i="12" s="1"/>
  <c r="Q62" i="12" s="1"/>
  <c r="N5" i="11"/>
  <c r="O5" i="11" s="1"/>
  <c r="P5" i="11" s="1"/>
  <c r="O152" i="12"/>
  <c r="P152" i="12" s="1"/>
  <c r="Q152" i="12" s="1"/>
  <c r="O67" i="12"/>
  <c r="P67" i="12" s="1"/>
  <c r="Q67" i="12" s="1"/>
  <c r="O9" i="12"/>
  <c r="P9" i="12" s="1"/>
  <c r="Q9" i="12" s="1"/>
  <c r="O195" i="12"/>
  <c r="P195" i="12" s="1"/>
  <c r="Q195" i="12" s="1"/>
  <c r="O197" i="12"/>
  <c r="P197" i="12" s="1"/>
  <c r="Q197" i="12" s="1"/>
  <c r="O76" i="12"/>
  <c r="P76" i="12" s="1"/>
  <c r="Q76" i="12" s="1"/>
  <c r="N20" i="11"/>
  <c r="O20" i="11" s="1"/>
  <c r="P20" i="11" s="1"/>
  <c r="N99" i="8"/>
  <c r="N21" i="11"/>
  <c r="O21" i="11" s="1"/>
  <c r="P21" i="11" s="1"/>
  <c r="N60" i="8"/>
  <c r="P60" i="8" s="1"/>
  <c r="O12" i="12"/>
  <c r="P12" i="12" s="1"/>
  <c r="Q12" i="12" s="1"/>
  <c r="N95" i="8"/>
  <c r="O40" i="12"/>
  <c r="P40" i="12" s="1"/>
  <c r="Q40" i="12" s="1"/>
  <c r="O122" i="12"/>
  <c r="P122" i="12" s="1"/>
  <c r="Q122" i="12" s="1"/>
  <c r="N27" i="11"/>
  <c r="O27" i="11" s="1"/>
  <c r="P27" i="11" s="1"/>
  <c r="O34" i="12"/>
  <c r="P34" i="12" s="1"/>
  <c r="Q34" i="12" s="1"/>
  <c r="O157" i="12"/>
  <c r="P157" i="12" s="1"/>
  <c r="Q157" i="12" s="1"/>
  <c r="O36" i="12"/>
  <c r="P36" i="12" s="1"/>
  <c r="Q36" i="12" s="1"/>
  <c r="N77" i="8"/>
  <c r="P77" i="8" s="1"/>
  <c r="O33" i="12"/>
  <c r="P33" i="12" s="1"/>
  <c r="Q33" i="12" s="1"/>
  <c r="O35" i="12"/>
  <c r="P35" i="12" s="1"/>
  <c r="Q35" i="12" s="1"/>
  <c r="O164" i="12"/>
  <c r="P164" i="12" s="1"/>
  <c r="Q164" i="12" s="1"/>
  <c r="N35" i="8"/>
  <c r="N98" i="8"/>
  <c r="O132" i="12"/>
  <c r="P132" i="12" s="1"/>
  <c r="Q132" i="12" s="1"/>
  <c r="O73" i="12"/>
  <c r="P73" i="12" s="1"/>
  <c r="Q73" i="12" s="1"/>
  <c r="O7" i="12"/>
  <c r="P7" i="12" s="1"/>
  <c r="Q7" i="12" s="1"/>
  <c r="N72" i="8"/>
  <c r="P72" i="8" s="1"/>
  <c r="N26" i="8"/>
  <c r="O167" i="12"/>
  <c r="P167" i="12" s="1"/>
  <c r="Q167" i="12" s="1"/>
  <c r="O111" i="12"/>
  <c r="P111" i="12" s="1"/>
  <c r="Q111" i="12" s="1"/>
  <c r="N18" i="11"/>
  <c r="O18" i="11" s="1"/>
  <c r="P18" i="11" s="1"/>
  <c r="O77" i="12"/>
  <c r="P77" i="12" s="1"/>
  <c r="Q77" i="12" s="1"/>
  <c r="O141" i="12"/>
  <c r="P141" i="12" s="1"/>
  <c r="Q141" i="12" s="1"/>
  <c r="N13" i="11"/>
  <c r="O13" i="11" s="1"/>
  <c r="P13" i="11" s="1"/>
  <c r="O128" i="12"/>
  <c r="P128" i="12" s="1"/>
  <c r="Q128" i="12" s="1"/>
  <c r="O192" i="12"/>
  <c r="P192" i="12" s="1"/>
  <c r="Q192" i="12" s="1"/>
  <c r="O123" i="12"/>
  <c r="P123" i="12" s="1"/>
  <c r="Q123" i="12" s="1"/>
  <c r="O52" i="12"/>
  <c r="P52" i="12" s="1"/>
  <c r="Q52" i="12" s="1"/>
  <c r="N28" i="11"/>
  <c r="O28" i="11" s="1"/>
  <c r="P28" i="11" s="1"/>
  <c r="N76" i="8"/>
  <c r="P76" i="8" s="1"/>
  <c r="O212" i="12"/>
  <c r="P212" i="12" s="1"/>
  <c r="Q212" i="12" s="1"/>
  <c r="O187" i="12"/>
  <c r="P187" i="12" s="1"/>
  <c r="Q187" i="12" s="1"/>
  <c r="N93" i="8"/>
  <c r="O165" i="12"/>
  <c r="P165" i="12" s="1"/>
  <c r="Q165" i="12" s="1"/>
  <c r="O100" i="12"/>
  <c r="P100" i="12" s="1"/>
  <c r="Q100" i="12" s="1"/>
  <c r="O94" i="12"/>
  <c r="P94" i="12" s="1"/>
  <c r="Q94" i="12" s="1"/>
  <c r="O92" i="12"/>
  <c r="P92" i="12" s="1"/>
  <c r="Q92" i="12" s="1"/>
  <c r="N30" i="11"/>
  <c r="O30" i="11" s="1"/>
  <c r="P30" i="11" s="1"/>
  <c r="N51" i="8"/>
  <c r="P51" i="8" s="1"/>
  <c r="O204" i="12"/>
  <c r="P204" i="12" s="1"/>
  <c r="Q204" i="12" s="1"/>
  <c r="O22" i="12"/>
  <c r="P22" i="12" s="1"/>
  <c r="Q22" i="12" s="1"/>
  <c r="O47" i="10"/>
  <c r="P47" i="10" s="1"/>
  <c r="N63" i="8"/>
  <c r="P63" i="8" s="1"/>
  <c r="N28" i="8"/>
  <c r="O213" i="12"/>
  <c r="P213" i="12" s="1"/>
  <c r="Q213" i="12" s="1"/>
  <c r="O80" i="12"/>
  <c r="P80" i="12" s="1"/>
  <c r="Q80" i="12" s="1"/>
  <c r="O23" i="12"/>
  <c r="P23" i="12" s="1"/>
  <c r="Q23" i="12" s="1"/>
  <c r="N41" i="8"/>
  <c r="N29" i="11"/>
  <c r="O29" i="11" s="1"/>
  <c r="P29" i="11" s="1"/>
  <c r="O173" i="12"/>
  <c r="P173" i="12" s="1"/>
  <c r="Q173" i="12" s="1"/>
  <c r="O98" i="12"/>
  <c r="P98" i="12" s="1"/>
  <c r="Q98" i="12" s="1"/>
  <c r="N29" i="8"/>
  <c r="O193" i="12"/>
  <c r="P193" i="12" s="1"/>
  <c r="Q193" i="12" s="1"/>
  <c r="O180" i="12"/>
  <c r="P180" i="12" s="1"/>
  <c r="Q180" i="12" s="1"/>
  <c r="O116" i="12"/>
  <c r="P116" i="12" s="1"/>
  <c r="Q116" i="12" s="1"/>
  <c r="O61" i="12"/>
  <c r="P61" i="12" s="1"/>
  <c r="Q61" i="12" s="1"/>
  <c r="O200" i="12"/>
  <c r="P200" i="12" s="1"/>
  <c r="Q200" i="12" s="1"/>
  <c r="O105" i="12"/>
  <c r="P105" i="12" s="1"/>
  <c r="Q105" i="12" s="1"/>
  <c r="N26" i="11"/>
  <c r="O26" i="11" s="1"/>
  <c r="P26" i="11" s="1"/>
  <c r="N15" i="11"/>
  <c r="O15" i="11" s="1"/>
  <c r="P15" i="11" s="1"/>
  <c r="O209" i="12"/>
  <c r="P209" i="12" s="1"/>
  <c r="Q209" i="12" s="1"/>
  <c r="O126" i="12"/>
  <c r="P126" i="12" s="1"/>
  <c r="Q126" i="12" s="1"/>
  <c r="N19" i="11"/>
  <c r="O19" i="11" s="1"/>
  <c r="P19" i="11" s="1"/>
  <c r="O160" i="12"/>
  <c r="P160" i="12" s="1"/>
  <c r="Q160" i="12" s="1"/>
  <c r="O113" i="12"/>
  <c r="P113" i="12" s="1"/>
  <c r="Q113" i="12" s="1"/>
  <c r="O46" i="12"/>
  <c r="P46" i="12" s="1"/>
  <c r="Q46" i="12" s="1"/>
  <c r="O44" i="10"/>
  <c r="P44" i="10" s="1"/>
  <c r="Q44" i="10" s="1"/>
  <c r="N39" i="8"/>
  <c r="N132" i="8"/>
  <c r="N107" i="8"/>
  <c r="N131" i="8"/>
  <c r="N130" i="8"/>
  <c r="N110" i="8"/>
  <c r="N176" i="8"/>
  <c r="N129" i="8"/>
  <c r="N111" i="8"/>
  <c r="N113" i="8"/>
  <c r="N167" i="8"/>
  <c r="N177" i="8"/>
  <c r="N112" i="8"/>
  <c r="N168" i="8"/>
  <c r="N108" i="8"/>
  <c r="S25" i="8" l="1"/>
  <c r="AA18" i="10"/>
  <c r="Z18" i="10"/>
  <c r="S29" i="8"/>
  <c r="R25" i="8" l="1"/>
  <c r="R29" i="8"/>
  <c r="G114" i="12"/>
  <c r="G44" i="10"/>
  <c r="E140" i="8"/>
  <c r="E139" i="8"/>
  <c r="E136" i="8"/>
  <c r="E135" i="8"/>
  <c r="D6" i="7"/>
  <c r="D5" i="7"/>
  <c r="T150" i="34"/>
  <c r="U150" i="34" s="1"/>
  <c r="Q29" i="6"/>
  <c r="N29" i="6" s="1"/>
  <c r="Q30" i="6"/>
  <c r="N30"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<sst xmlns="http://schemas.openxmlformats.org/spreadsheetml/2006/main" count="7427" uniqueCount="2999">
  <si>
    <t>qm=;+=</t>
  </si>
  <si>
    <t>ljj/)f</t>
  </si>
  <si>
    <t>1=</t>
  </si>
  <si>
    <t>2=</t>
  </si>
  <si>
    <t>3=</t>
  </si>
  <si>
    <t>4=</t>
  </si>
  <si>
    <t>5=</t>
  </si>
  <si>
    <t>qm= ;+=</t>
  </si>
  <si>
    <t>OsfO{</t>
  </si>
  <si>
    <t>s}lkmot</t>
  </si>
  <si>
    <t>,, ,,</t>
  </si>
  <si>
    <t>qm=
;+=</t>
  </si>
  <si>
    <t>dflg; -e/Lof_ åf/f ('jfgL</t>
  </si>
  <si>
    <t>6_ dflg;åf/f ^«fG;\km/d/ ('jfgL</t>
  </si>
  <si>
    <t>vRr/åf/f ('jfgL -;lhnf] ;fdfg dfq_</t>
  </si>
  <si>
    <t>^fo/uf*fåf/f ('jfgL c;lhnf] ;fdfg</t>
  </si>
  <si>
    <t>^«ofS^/åf/f ('jfgL -t/fOdf_</t>
  </si>
  <si>
    <t>sRrL -df^]_ ;*sdf</t>
  </si>
  <si>
    <t>sRrL -u|fe]n_ ;*sdf</t>
  </si>
  <si>
    <t xml:space="preserve">kSsL -sfnf]kq]_ ;*sdf </t>
  </si>
  <si>
    <t>^«ofS^/ ef*f -sf&amp; ('jfgL k|of]hg_</t>
  </si>
  <si>
    <t>s</t>
  </si>
  <si>
    <t xml:space="preserve">t]n jfx]s </t>
  </si>
  <si>
    <t>v</t>
  </si>
  <si>
    <t>t]n ;lxt</t>
  </si>
  <si>
    <r>
      <t>^«ofS^/åf/f ('jfgL kxf*L sRrL ;*s -^</t>
    </r>
    <r>
      <rPr>
        <b/>
        <sz val="9"/>
        <rFont val="Preeti"/>
      </rPr>
      <t>«</t>
    </r>
    <r>
      <rPr>
        <b/>
        <sz val="9"/>
        <rFont val="FONTASY_ HIMALI_ TT"/>
        <family val="5"/>
      </rPr>
      <t>s rNg g;Sg]_ df</t>
    </r>
  </si>
  <si>
    <t>^«såf/f ('jfgL -50 ls=dL= ;Ddsf] nflu_</t>
  </si>
  <si>
    <t>^«såf/f ('jfgL -50ls=dL= eGbf a(Lsf] nflu_</t>
  </si>
  <si>
    <t>nf]* / cgnf]* -b'a}_</t>
  </si>
  <si>
    <t xml:space="preserve">       1_ ;lhnf] ;fdfg</t>
  </si>
  <si>
    <t xml:space="preserve">       2_ c;lhnf] ;fdfg</t>
  </si>
  <si>
    <t xml:space="preserve">       3_ clt c;lhnf] ;fdfg</t>
  </si>
  <si>
    <t>;fdfgsf] tf}nfO{ / rf}sfO{</t>
  </si>
  <si>
    <t>dn vfb nf]* cgnf]*</t>
  </si>
  <si>
    <t>cf}iflw ld;fOPsf] aLp nf]* cgnf]*</t>
  </si>
  <si>
    <t>ls^gfzs cf}iflw -w"nf]_ nf]* cgnf]*</t>
  </si>
  <si>
    <t xml:space="preserve">dnvfb l/k]l/ª tf}nfO{, l;nfO{, rf}sfO{ </t>
  </si>
  <si>
    <t xml:space="preserve">(naf^ (sg x^fO{ lg:s]sf] kmf]xf]/ lunf] df^f] ^«ofS^/af^ ("jfgL u/L ahf/af^ aflx/ kmfNg] sfo{ </t>
  </si>
  <si>
    <t>xo"dkfOk tyf lkP;;Lkf]nsf] ("jfgL ef*f -sf/vfgf d"Nosf] cfwf/df_</t>
  </si>
  <si>
    <t xml:space="preserve">50 ls= dL= ;Dd  </t>
  </si>
  <si>
    <t xml:space="preserve">50 b]lv 75 ls= dL= ;Dd </t>
  </si>
  <si>
    <t>u</t>
  </si>
  <si>
    <t xml:space="preserve">75 b]lv 100 ls= dL= ;Dd </t>
  </si>
  <si>
    <t>#</t>
  </si>
  <si>
    <t xml:space="preserve">101 b]lv 200 ls= dL= ;Dd </t>
  </si>
  <si>
    <t xml:space="preserve">Uofljog tf/hfnL ^«s jf ^«]S^/af^ ("jfgL </t>
  </si>
  <si>
    <t>kSsL ;*sdf</t>
  </si>
  <si>
    <t>3x1.5x0.75,   3x1x1</t>
  </si>
  <si>
    <t>3x1x0.75,    2x1x1</t>
  </si>
  <si>
    <t>3x1x0.60,   2x1.5x0.50</t>
  </si>
  <si>
    <t>sRrL ;*sdf</t>
  </si>
  <si>
    <t>lgdf{)f ;fdu|Lsf] ljj/)f</t>
  </si>
  <si>
    <t>cf=a= 062÷063</t>
  </si>
  <si>
    <t>cf=a= 2066÷67</t>
  </si>
  <si>
    <t>cf=a= 2067÷68</t>
  </si>
  <si>
    <t>cf=a= 2068÷69</t>
  </si>
  <si>
    <t>ª</t>
  </si>
  <si>
    <t>r</t>
  </si>
  <si>
    <t>uf]nf] lu§L bfpGg] k"j{ -10 b]vL 40 dL=dL=_</t>
  </si>
  <si>
    <t>("+ufsf] w"nf] ("jfgL ;d]t</t>
  </si>
  <si>
    <t>afn'jf÷df^f]</t>
  </si>
  <si>
    <t>afn'jf -nf]sn vf]nf_</t>
  </si>
  <si>
    <t>wf]Psf] afn'jf -qm;/sf]_</t>
  </si>
  <si>
    <t>k"g]{ df^f]</t>
  </si>
  <si>
    <t>hf]*fO{sf] df^f]</t>
  </si>
  <si>
    <t>la?jf /f]Kgsf] nflu dlnnf] df^f]</t>
  </si>
  <si>
    <t xml:space="preserve">l;d]G^ </t>
  </si>
  <si>
    <r>
      <t xml:space="preserve">g]kfnL l;d]G^ </t>
    </r>
    <r>
      <rPr>
        <sz val="10"/>
        <rFont val="Times New Roman"/>
        <family val="1"/>
      </rPr>
      <t>( N/S OPC ) (50 kg)</t>
    </r>
  </si>
  <si>
    <t>af]/f</t>
  </si>
  <si>
    <r>
      <t xml:space="preserve">l;d]G^ </t>
    </r>
    <r>
      <rPr>
        <sz val="10"/>
        <rFont val="Times New Roman"/>
        <family val="1"/>
      </rPr>
      <t>( N/S PPC ) (50kg)</t>
    </r>
  </si>
  <si>
    <r>
      <t xml:space="preserve">;]tf] l;d]G^ </t>
    </r>
    <r>
      <rPr>
        <sz val="10"/>
        <rFont val="Times New Roman"/>
        <family val="1"/>
      </rPr>
      <t>(40 kg)</t>
    </r>
  </si>
  <si>
    <t>s+qmL^ P*ldS:r/</t>
  </si>
  <si>
    <t>Knfli^;fOh/</t>
  </si>
  <si>
    <t>ln^/</t>
  </si>
  <si>
    <t>PlG^ ^/dfO{^</t>
  </si>
  <si>
    <t>jf^/ l/k]lné sDkfp)*</t>
  </si>
  <si>
    <t>qmofs l/*\o';/</t>
  </si>
  <si>
    <t>jf^/ k|'lkmé sDkfp)*</t>
  </si>
  <si>
    <t>l;lnsf l;d])^ P*ldS:r/</t>
  </si>
  <si>
    <t>sf&amp;</t>
  </si>
  <si>
    <r>
      <t xml:space="preserve">;fnsf] sf&amp; </t>
    </r>
    <r>
      <rPr>
        <sz val="10"/>
        <rFont val="Arial"/>
        <family val="1"/>
      </rPr>
      <t>(</t>
    </r>
    <r>
      <rPr>
        <sz val="10"/>
        <rFont val="FONTASY_ HIMALI_ TT"/>
        <family val="5"/>
      </rPr>
      <t>lr/fg jfnf</t>
    </r>
    <r>
      <rPr>
        <sz val="10"/>
        <rFont val="Arial"/>
        <family val="2"/>
      </rPr>
      <t>)</t>
    </r>
  </si>
  <si>
    <t>l;;f} sf&amp; -lr/fg jfnf_ cfjfbL</t>
  </si>
  <si>
    <t>cGo sf&amp; -s"sf&amp;_ lr/fg jfnf</t>
  </si>
  <si>
    <t>bfp/f</t>
  </si>
  <si>
    <t>em\ofn, (f]sf / e]N^Ln];gsf km|]dx?</t>
  </si>
  <si>
    <t>em\ofn, (f]sf / e]N^Ln];gsf cfs{ km|]dx?</t>
  </si>
  <si>
    <t>%]l:sgL</t>
  </si>
  <si>
    <t>%]:sgL 100 ld=ld=</t>
  </si>
  <si>
    <t>uf]^f</t>
  </si>
  <si>
    <t>%]:sgL 150 ld=ld=</t>
  </si>
  <si>
    <t>%]:sgL 200 ld=ld=</t>
  </si>
  <si>
    <t xml:space="preserve">%]:sgL 225 ld=ld= </t>
  </si>
  <si>
    <t>%]:sgL 300</t>
  </si>
  <si>
    <t>sAhf</t>
  </si>
  <si>
    <t>sAhf 75 ld=ld=</t>
  </si>
  <si>
    <t>sAhf 100ld=ld=</t>
  </si>
  <si>
    <t>sAhf 150ld=ld=</t>
  </si>
  <si>
    <t>x]l)*n tyf cGo</t>
  </si>
  <si>
    <t>x]l)*n kmnfd] -d"&amp;_ 8Æ÷16 ld=ld= df]^f]</t>
  </si>
  <si>
    <t>x]l)*n cfn"ldlgod 8Æ÷16 ld=ld= df]^f]</t>
  </si>
  <si>
    <t>x]l)*n &amp;"nf] 10Æ÷16 ld=ld= df]^f]</t>
  </si>
  <si>
    <t>x]l)*n ;fgf] 8Æ÷16 ld=ld= df]^f]</t>
  </si>
  <si>
    <r>
      <t xml:space="preserve">k]r </t>
    </r>
    <r>
      <rPr>
        <sz val="10"/>
        <rFont val="Times New Roman"/>
        <family val="1"/>
      </rPr>
      <t>(Screw nails )</t>
    </r>
  </si>
  <si>
    <t xml:space="preserve">h] x"s </t>
  </si>
  <si>
    <t>lj^"ldg jf;/</t>
  </si>
  <si>
    <t>df]l^{; ns</t>
  </si>
  <si>
    <t>xf]N* kmf:^</t>
  </si>
  <si>
    <t>*f]/ :k|Lé kmnfd]</t>
  </si>
  <si>
    <t>*f]/ :k|Lé a|f;</t>
  </si>
  <si>
    <t xml:space="preserve">d:So"^f] g]^ -ef/tLo, x]eL_ </t>
  </si>
  <si>
    <t>j=ld=</t>
  </si>
  <si>
    <t>PS;k]G*]* d]^n g]^ -x]eL_</t>
  </si>
  <si>
    <t>lrs]g jfo/ d];</t>
  </si>
  <si>
    <t>g^ af]N^ jf;/ ;lxt</t>
  </si>
  <si>
    <t>1Æ :Sjfo/ kfOk /]lné agfO{ To;df ;fn jf l;;f} sf&amp;sf] x])*/]n /fvL h*fg ug]{ sfo{</t>
  </si>
  <si>
    <t>j=dL=</t>
  </si>
  <si>
    <t>P]gf kf/bz{s</t>
  </si>
  <si>
    <t>3 ld=ld=</t>
  </si>
  <si>
    <t>4 ld=ld=</t>
  </si>
  <si>
    <t>5 ld=ld=</t>
  </si>
  <si>
    <t>P]gf ckf/bz{s</t>
  </si>
  <si>
    <t>P]gf sfnf]</t>
  </si>
  <si>
    <t>6 ld=ld=</t>
  </si>
  <si>
    <t>8 ld=ld=</t>
  </si>
  <si>
    <t>10 ld=ld= -lzv/ jf ;f] eGbf dfyL_</t>
  </si>
  <si>
    <r>
      <t>xf]nf] l;d]G^ Ans 8æ</t>
    </r>
    <r>
      <rPr>
        <sz val="10"/>
        <rFont val="Times New Roman"/>
        <family val="1"/>
      </rPr>
      <t>X</t>
    </r>
    <r>
      <rPr>
        <sz val="10"/>
        <rFont val="FONTASY_ HIMALI_ TT"/>
        <family val="5"/>
      </rPr>
      <t>8</t>
    </r>
    <r>
      <rPr>
        <sz val="10"/>
        <rFont val="Times New Roman"/>
        <family val="1"/>
      </rPr>
      <t>"X</t>
    </r>
    <r>
      <rPr>
        <sz val="10"/>
        <rFont val="FONTASY_ HIMALI_ TT"/>
        <family val="5"/>
      </rPr>
      <t>16</t>
    </r>
    <r>
      <rPr>
        <sz val="10"/>
        <rFont val="Times New Roman"/>
        <family val="1"/>
      </rPr>
      <t>"</t>
    </r>
  </si>
  <si>
    <r>
      <t>xf]nf] l;d]G^ Ans 4æ</t>
    </r>
    <r>
      <rPr>
        <sz val="10"/>
        <rFont val="Times New Roman"/>
        <family val="1"/>
      </rPr>
      <t>X</t>
    </r>
    <r>
      <rPr>
        <sz val="10"/>
        <rFont val="FONTASY_ HIMALI_ TT"/>
        <family val="5"/>
      </rPr>
      <t>8</t>
    </r>
    <r>
      <rPr>
        <sz val="10"/>
        <rFont val="Times New Roman"/>
        <family val="1"/>
      </rPr>
      <t>"X</t>
    </r>
    <r>
      <rPr>
        <sz val="10"/>
        <rFont val="FONTASY_ HIMALI_ TT"/>
        <family val="5"/>
      </rPr>
      <t>16</t>
    </r>
    <r>
      <rPr>
        <sz val="10"/>
        <rFont val="Times New Roman"/>
        <family val="1"/>
      </rPr>
      <t>"</t>
    </r>
  </si>
  <si>
    <r>
      <t>xf]nf] l;d]G^ Ans 6æ</t>
    </r>
    <r>
      <rPr>
        <sz val="10"/>
        <rFont val="Times New Roman"/>
        <family val="1"/>
      </rPr>
      <t>X</t>
    </r>
    <r>
      <rPr>
        <sz val="10"/>
        <rFont val="FONTASY_ HIMALI_ TT"/>
        <family val="5"/>
      </rPr>
      <t>8</t>
    </r>
    <r>
      <rPr>
        <sz val="10"/>
        <rFont val="Times New Roman"/>
        <family val="1"/>
      </rPr>
      <t>"X</t>
    </r>
    <r>
      <rPr>
        <sz val="10"/>
        <rFont val="FONTASY_ HIMALI_ TT"/>
        <family val="5"/>
      </rPr>
      <t>16</t>
    </r>
    <r>
      <rPr>
        <sz val="10"/>
        <rFont val="Times New Roman"/>
        <family val="1"/>
      </rPr>
      <t>"</t>
    </r>
  </si>
  <si>
    <r>
      <t>xf]nf] l;d]G^ Ans 5æ</t>
    </r>
    <r>
      <rPr>
        <sz val="10"/>
        <rFont val="Times New Roman"/>
        <family val="1"/>
      </rPr>
      <t>X</t>
    </r>
    <r>
      <rPr>
        <sz val="10"/>
        <rFont val="FONTASY_ HIMALI_ TT"/>
        <family val="5"/>
      </rPr>
      <t>8</t>
    </r>
    <r>
      <rPr>
        <sz val="10"/>
        <rFont val="Times New Roman"/>
        <family val="1"/>
      </rPr>
      <t>"X</t>
    </r>
    <r>
      <rPr>
        <sz val="10"/>
        <rFont val="FONTASY_ HIMALI_ TT"/>
        <family val="5"/>
      </rPr>
      <t>12</t>
    </r>
    <r>
      <rPr>
        <sz val="10"/>
        <rFont val="Times New Roman"/>
        <family val="1"/>
      </rPr>
      <t>"</t>
    </r>
  </si>
  <si>
    <r>
      <t>xf]nf] l;d]G^ Ans 4æ</t>
    </r>
    <r>
      <rPr>
        <sz val="10"/>
        <rFont val="Times New Roman"/>
        <family val="1"/>
      </rPr>
      <t>X</t>
    </r>
    <r>
      <rPr>
        <sz val="10"/>
        <rFont val="FONTASY_ HIMALI_ TT"/>
        <family val="5"/>
      </rPr>
      <t>6</t>
    </r>
    <r>
      <rPr>
        <sz val="10"/>
        <rFont val="Times New Roman"/>
        <family val="1"/>
      </rPr>
      <t>"X</t>
    </r>
    <r>
      <rPr>
        <sz val="10"/>
        <rFont val="FONTASY_ HIMALI_ TT"/>
        <family val="5"/>
      </rPr>
      <t>12</t>
    </r>
    <r>
      <rPr>
        <sz val="10"/>
        <rFont val="Times New Roman"/>
        <family val="1"/>
      </rPr>
      <t>"</t>
    </r>
  </si>
  <si>
    <r>
      <rPr>
        <sz val="11"/>
        <rFont val="Times New Roman"/>
        <family val="1"/>
      </rPr>
      <t>I</t>
    </r>
    <r>
      <rPr>
        <sz val="10"/>
        <rFont val="FONTASY_ HIMALI_ TT"/>
        <family val="5"/>
      </rPr>
      <t xml:space="preserve"> cfsf/sf] ;fbf -6æ</t>
    </r>
    <r>
      <rPr>
        <sz val="10"/>
        <rFont val="Times New Roman"/>
        <family val="1"/>
      </rPr>
      <t>x</t>
    </r>
    <r>
      <rPr>
        <sz val="10"/>
        <rFont val="FONTASY_ HIMALI_ TT"/>
        <family val="5"/>
      </rPr>
      <t>8Æ</t>
    </r>
    <r>
      <rPr>
        <sz val="10"/>
        <rFont val="Times New Roman"/>
        <family val="1"/>
      </rPr>
      <t>x</t>
    </r>
    <r>
      <rPr>
        <sz val="10"/>
        <rFont val="FONTASY_ HIMALI_ TT"/>
        <family val="5"/>
      </rPr>
      <t>80dL=dL=_</t>
    </r>
  </si>
  <si>
    <r>
      <rPr>
        <sz val="11"/>
        <rFont val="Times New Roman"/>
        <family val="1"/>
      </rPr>
      <t>I</t>
    </r>
    <r>
      <rPr>
        <sz val="10"/>
        <rFont val="FONTASY_ HIMALI_ TT"/>
        <family val="5"/>
      </rPr>
      <t xml:space="preserve"> cfsf/sf] sn/ -6æ</t>
    </r>
    <r>
      <rPr>
        <sz val="10"/>
        <rFont val="Times New Roman"/>
        <family val="1"/>
      </rPr>
      <t>x</t>
    </r>
    <r>
      <rPr>
        <sz val="10"/>
        <rFont val="FONTASY_ HIMALI_ TT"/>
        <family val="5"/>
      </rPr>
      <t>8Æ</t>
    </r>
    <r>
      <rPr>
        <sz val="10"/>
        <rFont val="Times New Roman"/>
        <family val="1"/>
      </rPr>
      <t>x</t>
    </r>
    <r>
      <rPr>
        <sz val="10"/>
        <rFont val="FONTASY_ HIMALI_ TT"/>
        <family val="5"/>
      </rPr>
      <t>80dL=dL=_</t>
    </r>
  </si>
  <si>
    <r>
      <rPr>
        <sz val="11"/>
        <rFont val="Times New Roman"/>
        <family val="1"/>
      </rPr>
      <t>I</t>
    </r>
    <r>
      <rPr>
        <sz val="10"/>
        <rFont val="FONTASY_ HIMALI_ TT"/>
        <family val="5"/>
      </rPr>
      <t xml:space="preserve"> cfsf/sf] ;fbf -6æ</t>
    </r>
    <r>
      <rPr>
        <sz val="10"/>
        <rFont val="Times New Roman"/>
        <family val="1"/>
      </rPr>
      <t>x</t>
    </r>
    <r>
      <rPr>
        <sz val="10"/>
        <rFont val="FONTASY_ HIMALI_ TT"/>
        <family val="5"/>
      </rPr>
      <t>8Æ</t>
    </r>
    <r>
      <rPr>
        <sz val="10"/>
        <rFont val="Times New Roman"/>
        <family val="1"/>
      </rPr>
      <t>x</t>
    </r>
    <r>
      <rPr>
        <sz val="10"/>
        <rFont val="FONTASY_ HIMALI_ TT"/>
        <family val="5"/>
      </rPr>
      <t>60dL=dL=_</t>
    </r>
  </si>
  <si>
    <r>
      <rPr>
        <sz val="11"/>
        <rFont val="Times New Roman"/>
        <family val="1"/>
      </rPr>
      <t>I</t>
    </r>
    <r>
      <rPr>
        <sz val="10"/>
        <rFont val="FONTASY_ HIMALI_ TT"/>
        <family val="5"/>
      </rPr>
      <t xml:space="preserve"> cfsf/sf] sn/ -6æ</t>
    </r>
    <r>
      <rPr>
        <sz val="10"/>
        <rFont val="Times New Roman"/>
        <family val="1"/>
      </rPr>
      <t>x</t>
    </r>
    <r>
      <rPr>
        <sz val="10"/>
        <rFont val="FONTASY_ HIMALI_ TT"/>
        <family val="5"/>
      </rPr>
      <t>8Æ</t>
    </r>
    <r>
      <rPr>
        <sz val="10"/>
        <rFont val="Times New Roman"/>
        <family val="1"/>
      </rPr>
      <t>x</t>
    </r>
    <r>
      <rPr>
        <sz val="10"/>
        <rFont val="FONTASY_ HIMALI_ TT"/>
        <family val="5"/>
      </rPr>
      <t>60dL=dL=_</t>
    </r>
  </si>
  <si>
    <r>
      <t>uf]nf] cfsf/sf] ;fbf -8æ</t>
    </r>
    <r>
      <rPr>
        <sz val="10"/>
        <rFont val="Times New Roman"/>
        <family val="1"/>
      </rPr>
      <t>x</t>
    </r>
    <r>
      <rPr>
        <sz val="10"/>
        <rFont val="FONTASY_ HIMALI_ TT"/>
        <family val="5"/>
      </rPr>
      <t>8Æ</t>
    </r>
    <r>
      <rPr>
        <sz val="10"/>
        <rFont val="Times New Roman"/>
        <family val="1"/>
      </rPr>
      <t>x</t>
    </r>
    <r>
      <rPr>
        <sz val="10"/>
        <rFont val="FONTASY_ HIMALI_ TT"/>
        <family val="5"/>
      </rPr>
      <t>80dL=dL=_</t>
    </r>
  </si>
  <si>
    <r>
      <t>uf]nf] cfsf/sf] sn/ -8æ</t>
    </r>
    <r>
      <rPr>
        <sz val="10"/>
        <rFont val="Times New Roman"/>
        <family val="1"/>
      </rPr>
      <t>x</t>
    </r>
    <r>
      <rPr>
        <sz val="10"/>
        <rFont val="FONTASY_ HIMALI_ TT"/>
        <family val="5"/>
      </rPr>
      <t>8Æ</t>
    </r>
    <r>
      <rPr>
        <sz val="10"/>
        <rFont val="Times New Roman"/>
        <family val="1"/>
      </rPr>
      <t>x</t>
    </r>
    <r>
      <rPr>
        <sz val="10"/>
        <rFont val="FONTASY_ HIMALI_ TT"/>
        <family val="5"/>
      </rPr>
      <t>80dL=dL=_</t>
    </r>
  </si>
  <si>
    <r>
      <t>uf]nf] cfsf/sf] ;fbf -8æ</t>
    </r>
    <r>
      <rPr>
        <sz val="10"/>
        <rFont val="Times New Roman"/>
        <family val="1"/>
      </rPr>
      <t>x</t>
    </r>
    <r>
      <rPr>
        <sz val="10"/>
        <rFont val="FONTASY_ HIMALI_ TT"/>
        <family val="5"/>
      </rPr>
      <t>8Æ</t>
    </r>
    <r>
      <rPr>
        <sz val="10"/>
        <rFont val="Times New Roman"/>
        <family val="1"/>
      </rPr>
      <t>x</t>
    </r>
    <r>
      <rPr>
        <sz val="10"/>
        <rFont val="FONTASY_ HIMALI_ TT"/>
        <family val="5"/>
      </rPr>
      <t>60dL=dL=_</t>
    </r>
  </si>
  <si>
    <r>
      <t>uf]nf] cfsf/sf] sn/ -8æ</t>
    </r>
    <r>
      <rPr>
        <sz val="10"/>
        <rFont val="Times New Roman"/>
        <family val="1"/>
      </rPr>
      <t>x</t>
    </r>
    <r>
      <rPr>
        <sz val="10"/>
        <rFont val="FONTASY_ HIMALI_ TT"/>
        <family val="5"/>
      </rPr>
      <t>8Æ</t>
    </r>
    <r>
      <rPr>
        <sz val="10"/>
        <rFont val="Times New Roman"/>
        <family val="1"/>
      </rPr>
      <t>x</t>
    </r>
    <r>
      <rPr>
        <sz val="10"/>
        <rFont val="FONTASY_ HIMALI_ TT"/>
        <family val="5"/>
      </rPr>
      <t>60dL=dL=_</t>
    </r>
  </si>
  <si>
    <r>
      <t>l;d]G^ Ans 9æ</t>
    </r>
    <r>
      <rPr>
        <sz val="10"/>
        <rFont val="Times New Roman"/>
        <family val="1"/>
      </rPr>
      <t>X</t>
    </r>
    <r>
      <rPr>
        <sz val="10"/>
        <rFont val="FONTASY_ HIMALI_ TT"/>
        <family val="5"/>
      </rPr>
      <t>4</t>
    </r>
    <r>
      <rPr>
        <sz val="10"/>
        <rFont val="Times New Roman"/>
        <family val="1"/>
      </rPr>
      <t>"X</t>
    </r>
    <r>
      <rPr>
        <sz val="10"/>
        <rFont val="FONTASY_ HIMALI_ TT"/>
        <family val="5"/>
      </rPr>
      <t>60dL=dL=</t>
    </r>
  </si>
  <si>
    <r>
      <t>l;d]G^ Ans 10æ</t>
    </r>
    <r>
      <rPr>
        <sz val="10"/>
        <rFont val="Times New Roman"/>
        <family val="1"/>
      </rPr>
      <t>X</t>
    </r>
    <r>
      <rPr>
        <sz val="10"/>
        <rFont val="FONTASY_ HIMALI_ TT"/>
        <family val="5"/>
      </rPr>
      <t>5</t>
    </r>
    <r>
      <rPr>
        <sz val="10"/>
        <rFont val="Times New Roman"/>
        <family val="1"/>
      </rPr>
      <t>"X</t>
    </r>
    <r>
      <rPr>
        <sz val="10"/>
        <rFont val="FONTASY_ HIMALI_ TT"/>
        <family val="5"/>
      </rPr>
      <t>80dL=dL=</t>
    </r>
  </si>
  <si>
    <r>
      <t>l;d]G^sf] ^fon ;fbf -</t>
    </r>
    <r>
      <rPr>
        <sz val="13"/>
        <rFont val="Preeti"/>
      </rPr>
      <t>ˆ</t>
    </r>
    <r>
      <rPr>
        <sz val="10"/>
        <rFont val="FONTASY_ HIMALI_ TT"/>
        <family val="5"/>
      </rPr>
      <t>nf]/_ 10æ</t>
    </r>
    <r>
      <rPr>
        <sz val="10"/>
        <rFont val="Times New Roman"/>
        <family val="1"/>
      </rPr>
      <t>X</t>
    </r>
    <r>
      <rPr>
        <sz val="10"/>
        <rFont val="FONTASY_ HIMALI_ TT"/>
        <family val="5"/>
      </rPr>
      <t>10</t>
    </r>
    <r>
      <rPr>
        <sz val="10"/>
        <rFont val="Times New Roman"/>
        <family val="1"/>
      </rPr>
      <t>"X</t>
    </r>
    <r>
      <rPr>
        <sz val="10"/>
        <rFont val="FONTASY_ HIMALI_ TT"/>
        <family val="5"/>
      </rPr>
      <t>25dL=dL=</t>
    </r>
  </si>
  <si>
    <r>
      <t>l;d]G^sf] ^fon sn/ 10æ</t>
    </r>
    <r>
      <rPr>
        <sz val="10"/>
        <rFont val="Times New Roman"/>
        <family val="1"/>
      </rPr>
      <t>X</t>
    </r>
    <r>
      <rPr>
        <sz val="10"/>
        <rFont val="FONTASY_ HIMALI_ TT"/>
        <family val="5"/>
      </rPr>
      <t>10</t>
    </r>
    <r>
      <rPr>
        <sz val="10"/>
        <rFont val="Times New Roman"/>
        <family val="1"/>
      </rPr>
      <t>"X</t>
    </r>
    <r>
      <rPr>
        <sz val="10"/>
        <rFont val="FONTASY_ HIMALI_ TT"/>
        <family val="5"/>
      </rPr>
      <t>25dL=dL=</t>
    </r>
  </si>
  <si>
    <t>l;d]G^ lk|sf:^ hfnL</t>
  </si>
  <si>
    <t>2' x 2'</t>
  </si>
  <si>
    <t>2' x 1½'</t>
  </si>
  <si>
    <t>2' x 1'</t>
  </si>
  <si>
    <t>1 ½' x 1'</t>
  </si>
  <si>
    <t>1'x 1'</t>
  </si>
  <si>
    <t>Readymade teak wood doors (Seasoned and poison treated), (excluding the cost of fitting, transportation and painting)</t>
  </si>
  <si>
    <t>j=lkm=</t>
  </si>
  <si>
    <t>If One side waterproof ply fitting</t>
  </si>
  <si>
    <t>UPVC Door/Window</t>
  </si>
  <si>
    <t xml:space="preserve">Stainless/Stainless steel railing </t>
  </si>
  <si>
    <t>Stainless steel pipe  1"ø</t>
  </si>
  <si>
    <t>/=lkm=</t>
  </si>
  <si>
    <t>Stainless steel pipe  1.5"ø</t>
  </si>
  <si>
    <t>Stainless steel pipe  2"ø</t>
  </si>
  <si>
    <r>
      <t xml:space="preserve">Stainless steel railing with </t>
    </r>
    <r>
      <rPr>
        <u/>
        <sz val="9"/>
        <rFont val="Times New Roman"/>
        <family val="1"/>
      </rPr>
      <t>2"ø to</t>
    </r>
    <r>
      <rPr>
        <sz val="9"/>
        <rFont val="Times New Roman"/>
        <family val="1"/>
      </rPr>
      <t xml:space="preserve">p, </t>
    </r>
    <r>
      <rPr>
        <u/>
        <sz val="9"/>
        <rFont val="Times New Roman"/>
        <family val="1"/>
      </rPr>
      <t>1"ø</t>
    </r>
    <r>
      <rPr>
        <sz val="9"/>
        <rFont val="Times New Roman"/>
        <family val="1"/>
      </rPr>
      <t xml:space="preserve"> middle &amp; buttam pipe in </t>
    </r>
    <r>
      <rPr>
        <u/>
        <sz val="9"/>
        <rFont val="Times New Roman"/>
        <family val="1"/>
      </rPr>
      <t>4 rows</t>
    </r>
    <r>
      <rPr>
        <sz val="9"/>
        <rFont val="Times New Roman"/>
        <family val="1"/>
      </rPr>
      <t>,</t>
    </r>
    <r>
      <rPr>
        <u/>
        <sz val="9"/>
        <rFont val="Times New Roman"/>
        <family val="1"/>
      </rPr>
      <t xml:space="preserve"> 2"ø post</t>
    </r>
    <r>
      <rPr>
        <sz val="9"/>
        <rFont val="Times New Roman"/>
        <family val="1"/>
      </rPr>
      <t xml:space="preserve"> @ 1mtr. c/c finish clear height including the cost of materails, labor &amp; fixing &amp; fitting all complete</t>
    </r>
  </si>
  <si>
    <r>
      <t>Stainless steel railing with</t>
    </r>
    <r>
      <rPr>
        <u/>
        <sz val="9"/>
        <rFont val="Times New Roman"/>
        <family val="1"/>
      </rPr>
      <t xml:space="preserve"> 2"ø top</t>
    </r>
    <r>
      <rPr>
        <sz val="9"/>
        <rFont val="Times New Roman"/>
        <family val="1"/>
      </rPr>
      <t xml:space="preserve">, </t>
    </r>
    <r>
      <rPr>
        <u/>
        <sz val="9"/>
        <rFont val="Times New Roman"/>
        <family val="1"/>
      </rPr>
      <t xml:space="preserve">1"ø </t>
    </r>
    <r>
      <rPr>
        <sz val="9"/>
        <rFont val="Times New Roman"/>
        <family val="1"/>
      </rPr>
      <t xml:space="preserve">middle &amp; buttam pipe in </t>
    </r>
    <r>
      <rPr>
        <u/>
        <sz val="9"/>
        <rFont val="Times New Roman"/>
        <family val="1"/>
      </rPr>
      <t>3 rows,</t>
    </r>
    <r>
      <rPr>
        <sz val="9"/>
        <rFont val="Times New Roman"/>
        <family val="1"/>
      </rPr>
      <t xml:space="preserve"> </t>
    </r>
    <r>
      <rPr>
        <u/>
        <sz val="9"/>
        <rFont val="Times New Roman"/>
        <family val="1"/>
      </rPr>
      <t>2"ø post</t>
    </r>
    <r>
      <rPr>
        <sz val="9"/>
        <rFont val="Times New Roman"/>
        <family val="1"/>
      </rPr>
      <t xml:space="preserve"> @ 1mtr. c/c finish clear height including the cost of materails, labor &amp; fixing &amp; fitting all complete</t>
    </r>
  </si>
  <si>
    <r>
      <t xml:space="preserve">Stainless steel railing with </t>
    </r>
    <r>
      <rPr>
        <u/>
        <sz val="9"/>
        <rFont val="Times New Roman"/>
        <family val="1"/>
      </rPr>
      <t>1.5"ø to</t>
    </r>
    <r>
      <rPr>
        <sz val="9"/>
        <rFont val="Times New Roman"/>
        <family val="1"/>
      </rPr>
      <t xml:space="preserve">p, </t>
    </r>
    <r>
      <rPr>
        <u/>
        <sz val="9"/>
        <rFont val="Times New Roman"/>
        <family val="1"/>
      </rPr>
      <t xml:space="preserve">1"ø </t>
    </r>
    <r>
      <rPr>
        <sz val="9"/>
        <rFont val="Times New Roman"/>
        <family val="1"/>
      </rPr>
      <t xml:space="preserve">middle &amp; buttam pipe in </t>
    </r>
    <r>
      <rPr>
        <u/>
        <sz val="9"/>
        <rFont val="Times New Roman"/>
        <family val="1"/>
      </rPr>
      <t>3 rows,</t>
    </r>
    <r>
      <rPr>
        <sz val="9"/>
        <rFont val="Times New Roman"/>
        <family val="1"/>
      </rPr>
      <t xml:space="preserve"> </t>
    </r>
    <r>
      <rPr>
        <u/>
        <sz val="9"/>
        <rFont val="Times New Roman"/>
        <family val="1"/>
      </rPr>
      <t>1.5"</t>
    </r>
    <r>
      <rPr>
        <sz val="9"/>
        <rFont val="Times New Roman"/>
        <family val="1"/>
      </rPr>
      <t>ø post @ 1mtr. c/c finish clear height including the cost of materails, labor &amp; fixing &amp; fitting all complete</t>
    </r>
  </si>
  <si>
    <t>Steel Tube for Railing work</t>
  </si>
  <si>
    <t>1=1</t>
  </si>
  <si>
    <t>25 dL=dL=</t>
  </si>
  <si>
    <t>1=2</t>
  </si>
  <si>
    <t>Machinemade  Ready Made Gabion Boxes (Factory Price)</t>
  </si>
  <si>
    <t>2=1</t>
  </si>
  <si>
    <t>2=2</t>
  </si>
  <si>
    <t>2=3=13</t>
  </si>
  <si>
    <t>tf/hfnL</t>
  </si>
  <si>
    <t>a=dL</t>
  </si>
  <si>
    <t>a)*n</t>
  </si>
  <si>
    <t>%fgf%fpg] :of)*ljr Kofgn</t>
  </si>
  <si>
    <t>30 ldld Kofgn</t>
  </si>
  <si>
    <t>40 ldld Kofgn</t>
  </si>
  <si>
    <t>75 ldld Kofgn</t>
  </si>
  <si>
    <t>50 ldld Kofgn</t>
  </si>
  <si>
    <t>65 ldld Kofgn</t>
  </si>
  <si>
    <t>PPGI Roofing Sheet ( 0.5mm/kg )</t>
  </si>
  <si>
    <t>Ridge Cap ( 0.5mm/kg )</t>
  </si>
  <si>
    <t>lh= cfO= Kn]gl;^  - ldl*od _</t>
  </si>
  <si>
    <t xml:space="preserve">22 u]h </t>
  </si>
  <si>
    <t xml:space="preserve">24 u]h </t>
  </si>
  <si>
    <t>26 u]h</t>
  </si>
  <si>
    <t>28 u]h</t>
  </si>
  <si>
    <r>
      <t xml:space="preserve">Pd=P;=ANofs kfOk </t>
    </r>
    <r>
      <rPr>
        <b/>
        <sz val="10"/>
        <color theme="1"/>
        <rFont val="Arial"/>
        <family val="2"/>
      </rPr>
      <t xml:space="preserve">NS standard </t>
    </r>
  </si>
  <si>
    <t>s]hL</t>
  </si>
  <si>
    <t>3=1</t>
  </si>
  <si>
    <t>3=2</t>
  </si>
  <si>
    <t>Antistripping Agent (Liquid)</t>
  </si>
  <si>
    <t>/ dL=</t>
  </si>
  <si>
    <t>j= dL=</t>
  </si>
  <si>
    <t xml:space="preserve">:oflg^/L÷jf^/ ;KnfO{ </t>
  </si>
  <si>
    <t>*An"= l;= Kofg k"m^/]:^ / ;fOkmg ;d]t</t>
  </si>
  <si>
    <r>
      <t>12Æ</t>
    </r>
    <r>
      <rPr>
        <sz val="10"/>
        <rFont val="Times New Roman"/>
        <family val="1"/>
      </rPr>
      <t>X</t>
    </r>
    <r>
      <rPr>
        <sz val="10"/>
        <rFont val="FONTASY_HIMALI_TT"/>
        <family val="5"/>
      </rPr>
      <t>12Æ</t>
    </r>
  </si>
  <si>
    <r>
      <t>12Æ</t>
    </r>
    <r>
      <rPr>
        <sz val="10"/>
        <rFont val="Times New Roman"/>
        <family val="1"/>
      </rPr>
      <t>X</t>
    </r>
    <r>
      <rPr>
        <sz val="10"/>
        <rFont val="FONTASY_HIMALI_TT"/>
        <family val="5"/>
      </rPr>
      <t>18Æ</t>
    </r>
  </si>
  <si>
    <r>
      <t>12Æ</t>
    </r>
    <r>
      <rPr>
        <sz val="10"/>
        <rFont val="Times New Roman"/>
        <family val="1"/>
      </rPr>
      <t>X</t>
    </r>
    <r>
      <rPr>
        <sz val="10"/>
        <rFont val="FONTASY_HIMALI_TT"/>
        <family val="5"/>
      </rPr>
      <t>20Æ</t>
    </r>
  </si>
  <si>
    <t>sdf]* Kofg se/ ;lxt</t>
  </si>
  <si>
    <t>sdf]* se/</t>
  </si>
  <si>
    <t>l;:^g{</t>
  </si>
  <si>
    <t>nf] n]en kf];{nLg l;:^g{</t>
  </si>
  <si>
    <t>xfO n]en kf];{nLg l;:^g{</t>
  </si>
  <si>
    <t>nf] n]en knfl:^s l;:^g{</t>
  </si>
  <si>
    <t>jf; a]l;g</t>
  </si>
  <si>
    <r>
      <t>16Æ</t>
    </r>
    <r>
      <rPr>
        <sz val="10"/>
        <rFont val="Times New Roman"/>
        <family val="1"/>
      </rPr>
      <t>X</t>
    </r>
    <r>
      <rPr>
        <sz val="10"/>
        <rFont val="FONTASY_HIMALI_TT"/>
        <family val="5"/>
      </rPr>
      <t>20Æ</t>
    </r>
  </si>
  <si>
    <r>
      <t>16Æ</t>
    </r>
    <r>
      <rPr>
        <sz val="10"/>
        <rFont val="Times New Roman"/>
        <family val="1"/>
      </rPr>
      <t>X</t>
    </r>
    <r>
      <rPr>
        <sz val="10"/>
        <rFont val="FONTASY_HIMALI_TT"/>
        <family val="5"/>
      </rPr>
      <t>22Æ</t>
    </r>
  </si>
  <si>
    <t>lsrg l;° :^\of)**{</t>
  </si>
  <si>
    <r>
      <t>lsrg l;° hg/n 16Æ</t>
    </r>
    <r>
      <rPr>
        <sz val="10"/>
        <rFont val="Times New Roman"/>
        <family val="1"/>
      </rPr>
      <t>X</t>
    </r>
    <r>
      <rPr>
        <sz val="10"/>
        <rFont val="FONTASY_ HIMALI_ TT"/>
        <family val="5"/>
      </rPr>
      <t>18Æ</t>
    </r>
  </si>
  <si>
    <r>
      <t>lsrg l;° hg/n 37Æ</t>
    </r>
    <r>
      <rPr>
        <sz val="10"/>
        <rFont val="Times New Roman"/>
        <family val="1"/>
      </rPr>
      <t>X</t>
    </r>
    <r>
      <rPr>
        <sz val="10"/>
        <rFont val="FONTASY_ HIMALI_ TT"/>
        <family val="5"/>
      </rPr>
      <t>18Æ</t>
    </r>
  </si>
  <si>
    <t>Nofj l;°</t>
  </si>
  <si>
    <t xml:space="preserve">l;° -c:ktfndf jRrf ;kmfug]{_ </t>
  </si>
  <si>
    <t>;f]k s]; aS;</t>
  </si>
  <si>
    <t>^fJf]n /*</t>
  </si>
  <si>
    <t>km]G;L ^fOk x]le</t>
  </si>
  <si>
    <t>;fwf/)f</t>
  </si>
  <si>
    <t>P]gf</t>
  </si>
  <si>
    <r>
      <t>18Æ</t>
    </r>
    <r>
      <rPr>
        <sz val="10"/>
        <rFont val="Times New Roman"/>
        <family val="1"/>
      </rPr>
      <t>X</t>
    </r>
    <r>
      <rPr>
        <sz val="10"/>
        <rFont val="Fontasy Roman Himali"/>
      </rPr>
      <t xml:space="preserve"> </t>
    </r>
    <r>
      <rPr>
        <sz val="10"/>
        <rFont val="FONTASY_ HIMALI_ TT"/>
        <family val="5"/>
      </rPr>
      <t>22Æ</t>
    </r>
  </si>
  <si>
    <r>
      <t>16Æ</t>
    </r>
    <r>
      <rPr>
        <sz val="10"/>
        <rFont val="Arial"/>
        <family val="2"/>
      </rPr>
      <t>X</t>
    </r>
    <r>
      <rPr>
        <sz val="10"/>
        <rFont val="FONTASY_ HIMALI_ TT"/>
        <family val="5"/>
      </rPr>
      <t>20Æ</t>
    </r>
  </si>
  <si>
    <t>^"y a|; ;]^ -^un/ ;]^_</t>
  </si>
  <si>
    <t>1÷2Æ wf/f</t>
  </si>
  <si>
    <t>lktn</t>
  </si>
  <si>
    <t xml:space="preserve">Knfl:^s </t>
  </si>
  <si>
    <t>c^f]:^k</t>
  </si>
  <si>
    <t>l;= lk= km]G;L ^fOk -/fd|f]_</t>
  </si>
  <si>
    <t>;fj/</t>
  </si>
  <si>
    <t>;fj/ ;fwf/)f</t>
  </si>
  <si>
    <t>;fj/ ^]lnkmf]lgs</t>
  </si>
  <si>
    <t>km\nf]^ eNj</t>
  </si>
  <si>
    <t>kf]l;{lng o"l/gn</t>
  </si>
  <si>
    <t>n]l*h</t>
  </si>
  <si>
    <t>h]G;</t>
  </si>
  <si>
    <t xml:space="preserve">k]k/ xf]N*/ </t>
  </si>
  <si>
    <t xml:space="preserve">/f]k x"s </t>
  </si>
  <si>
    <r>
      <t>km\nf]/ ^</t>
    </r>
    <r>
      <rPr>
        <sz val="10"/>
        <rFont val="Preeti"/>
      </rPr>
      <t>«</t>
    </r>
    <r>
      <rPr>
        <sz val="10"/>
        <rFont val="FONTASY_ HIMALI_ TT"/>
        <family val="5"/>
      </rPr>
      <t>ofk ;fOkmg ;d]t</t>
    </r>
  </si>
  <si>
    <t xml:space="preserve">lk= lj= l;= x"s </t>
  </si>
  <si>
    <t>Orisa pan set with cistern and long band</t>
  </si>
  <si>
    <t>Set</t>
  </si>
  <si>
    <t>Commode with cistern with long band</t>
  </si>
  <si>
    <t>jf^/ ;KnfO{÷l;rfO{ ;DjGwL</t>
  </si>
  <si>
    <t>yfg</t>
  </si>
  <si>
    <r>
      <t>l*h]n kDk;]^</t>
    </r>
    <r>
      <rPr>
        <sz val="10"/>
        <rFont val="Eras Light ITC"/>
        <family val="2"/>
      </rPr>
      <t xml:space="preserve">-  </t>
    </r>
    <r>
      <rPr>
        <sz val="10"/>
        <rFont val="Arial"/>
        <family val="2"/>
      </rPr>
      <t>3x3"   4H.P(air cool).</t>
    </r>
    <r>
      <rPr>
        <sz val="10"/>
        <rFont val="FONTASY_HIMALI_TT"/>
        <family val="5"/>
      </rPr>
      <t>jf ;f];/x</t>
    </r>
  </si>
  <si>
    <r>
      <t>l*h]n kDk;]^</t>
    </r>
    <r>
      <rPr>
        <sz val="10"/>
        <rFont val="Eras Light ITC"/>
        <family val="2"/>
      </rPr>
      <t xml:space="preserve">-  </t>
    </r>
    <r>
      <rPr>
        <sz val="10"/>
        <rFont val="Arial"/>
        <family val="2"/>
      </rPr>
      <t>3x2.5" 5H.P(water cool).</t>
    </r>
    <r>
      <rPr>
        <sz val="10"/>
        <rFont val="FONTASY_HIMALI_TT"/>
        <family val="5"/>
      </rPr>
      <t>jf ;f];/x</t>
    </r>
  </si>
  <si>
    <r>
      <t xml:space="preserve">1 xif{ kfj/ df]^/ OlG*og </t>
    </r>
    <r>
      <rPr>
        <sz val="10"/>
        <rFont val="Times New Roman"/>
        <family val="1"/>
      </rPr>
      <t>(ISI)</t>
    </r>
  </si>
  <si>
    <t>1÷2 xif{ kfj/ df]^/ rfOlgh</t>
  </si>
  <si>
    <t>1 xif{ kfj/ df]^/ rfOlgh</t>
  </si>
  <si>
    <t>lh= cfO{= kfO{k y|]*]* -nfO^ 6 /= ld=_</t>
  </si>
  <si>
    <t>½" ø</t>
  </si>
  <si>
    <t>¾" ø</t>
  </si>
  <si>
    <t>1" ø</t>
  </si>
  <si>
    <t>1¼" ø</t>
  </si>
  <si>
    <t>1½" ø</t>
  </si>
  <si>
    <t>2" ø</t>
  </si>
  <si>
    <t>2½" ø</t>
  </si>
  <si>
    <t>3" ø</t>
  </si>
  <si>
    <t>4" ø</t>
  </si>
  <si>
    <t>5" ø</t>
  </si>
  <si>
    <t>6" ø</t>
  </si>
  <si>
    <t>8" ø</t>
  </si>
  <si>
    <t>lh= cfO{= kfO{k y|]*]* -ldl*od 6 /= ld=_</t>
  </si>
  <si>
    <t>hL= cfO{= kfO{k y]|*]* -x]le *\o"l^ 6 / dL=_</t>
  </si>
  <si>
    <t>1÷2Æ lh= cfO{= kfO{k lkml^é;</t>
  </si>
  <si>
    <t>qm; l^</t>
  </si>
  <si>
    <t>hfd g^</t>
  </si>
  <si>
    <t>km\nf]^ eNj - a|f;_</t>
  </si>
  <si>
    <t>km\nf]^ eNj -kmnfd_</t>
  </si>
  <si>
    <t>:ofnf] ^\o"aj]n -x)of* kDk_</t>
  </si>
  <si>
    <t>4 g+= x]*</t>
  </si>
  <si>
    <r>
      <rPr>
        <sz val="10"/>
        <rFont val="FONTASY_ HIMALI_ TT"/>
        <family val="5"/>
      </rPr>
      <t>6 g+= x]*</t>
    </r>
    <r>
      <rPr>
        <sz val="10"/>
        <rFont val="Times New Roman"/>
        <family val="1"/>
      </rPr>
      <t xml:space="preserve">          Lower</t>
    </r>
  </si>
  <si>
    <t>Medium</t>
  </si>
  <si>
    <t xml:space="preserve">Heavy </t>
  </si>
  <si>
    <t>l(sL kDk</t>
  </si>
  <si>
    <t>^\o"j]n lkml^é</t>
  </si>
  <si>
    <t xml:space="preserve">;s]^ </t>
  </si>
  <si>
    <r>
      <t xml:space="preserve">hfnL -5 /= kmL=_ </t>
    </r>
    <r>
      <rPr>
        <sz val="10"/>
        <rFont val="Times New Roman"/>
        <family val="1"/>
      </rPr>
      <t>PVC</t>
    </r>
  </si>
  <si>
    <t xml:space="preserve">x]l)*n </t>
  </si>
  <si>
    <t>/* knGh/</t>
  </si>
  <si>
    <t>jf^/ ^\of+s</t>
  </si>
  <si>
    <t>:^Ln -1000 ln=_</t>
  </si>
  <si>
    <t>:^Ln -500 ln=_</t>
  </si>
  <si>
    <t>Knfl:^s -x]eL_</t>
  </si>
  <si>
    <t>lh=cfO{=kfO{kdf r'l*sf^\g] sfd -9y|]*÷lk;_</t>
  </si>
  <si>
    <t>½" to ¾"</t>
  </si>
  <si>
    <t>1" to 2"</t>
  </si>
  <si>
    <t>3" to 5"</t>
  </si>
  <si>
    <t>above 5"</t>
  </si>
  <si>
    <r>
      <rPr>
        <sz val="9"/>
        <rFont val="FONTASY_ HIMALI_ TT"/>
        <family val="5"/>
      </rPr>
      <t>eNjsf] :kfO*ndf lktnsf] dfn eg]{</t>
    </r>
    <r>
      <rPr>
        <sz val="10"/>
        <rFont val="FONTASY_ HIMALI_ TT"/>
        <family val="5"/>
      </rPr>
      <t xml:space="preserve"> </t>
    </r>
    <r>
      <rPr>
        <b/>
        <sz val="8"/>
        <rFont val="FONTASY_ HIMALI_ TT"/>
        <family val="5"/>
      </rPr>
      <t>3Æ</t>
    </r>
    <r>
      <rPr>
        <sz val="8"/>
        <rFont val="FONTASY_ HIMALI_ TT"/>
        <family val="5"/>
      </rPr>
      <t>eGbf dfly</t>
    </r>
  </si>
  <si>
    <r>
      <rPr>
        <sz val="9"/>
        <rFont val="FONTASY_ HIMALI_ TT"/>
        <family val="5"/>
      </rPr>
      <t>dfne/]sf] :kfO*ndf r"l* sf^\g</t>
    </r>
    <r>
      <rPr>
        <sz val="10"/>
        <rFont val="FONTASY_ HIMALI_ TT"/>
        <family val="5"/>
      </rPr>
      <t xml:space="preserve">] </t>
    </r>
    <r>
      <rPr>
        <sz val="8"/>
        <rFont val="FONTASY_ HIMALI_ TT"/>
        <family val="5"/>
      </rPr>
      <t xml:space="preserve">/ uf]l^ sf^\g] sfd </t>
    </r>
  </si>
  <si>
    <t>jf; a]l;gsf] j]:^ kfO{k</t>
  </si>
  <si>
    <t xml:space="preserve">lk= lj= l; jf^/ ^\ofk </t>
  </si>
  <si>
    <t xml:space="preserve">l;= lk= laa ss, :^kss, ;^ al*, P+un cflbsf] %"§f%"§} </t>
  </si>
  <si>
    <t xml:space="preserve">l;= lk= laa ss, :^kss, nª a*L, P+un cflbsf] %"§f%"§} </t>
  </si>
  <si>
    <t>lk=lk=cf/= kfO{k</t>
  </si>
  <si>
    <t>sDkgL b//]^ jdf]lhd sfod ug]{</t>
  </si>
  <si>
    <t>17=1</t>
  </si>
  <si>
    <t>20 dL=dL=</t>
  </si>
  <si>
    <t>/=dL=</t>
  </si>
  <si>
    <t>32 dL=dL=</t>
  </si>
  <si>
    <t>40 dL=dL=</t>
  </si>
  <si>
    <t>50 dL=dL=</t>
  </si>
  <si>
    <t>63 dL=dL=</t>
  </si>
  <si>
    <t>75 dL=dL=</t>
  </si>
  <si>
    <t>90 dL=dL=</t>
  </si>
  <si>
    <t>110 dL=dL=</t>
  </si>
  <si>
    <t>17=2</t>
  </si>
  <si>
    <t>17=3</t>
  </si>
  <si>
    <r>
      <t xml:space="preserve">;L= cfO{= kfOk      4æ </t>
    </r>
    <r>
      <rPr>
        <sz val="10"/>
        <rFont val="Times New Roman"/>
        <family val="1"/>
      </rPr>
      <t>ø</t>
    </r>
  </si>
  <si>
    <r>
      <t>;L= cfO{= ^L=       3æ/4æ</t>
    </r>
    <r>
      <rPr>
        <sz val="10"/>
        <rFont val="Times New Roman"/>
        <family val="1"/>
      </rPr>
      <t>ø</t>
    </r>
  </si>
  <si>
    <r>
      <t xml:space="preserve">;L= cfO{= hS;g     3æ </t>
    </r>
    <r>
      <rPr>
        <sz val="10"/>
        <rFont val="Times New Roman"/>
        <family val="1"/>
      </rPr>
      <t>ø</t>
    </r>
  </si>
  <si>
    <r>
      <t xml:space="preserve">;L= cfO={ hS;g     4æ </t>
    </r>
    <r>
      <rPr>
        <sz val="10"/>
        <rFont val="Times New Roman"/>
        <family val="1"/>
      </rPr>
      <t>ø</t>
    </r>
  </si>
  <si>
    <r>
      <t xml:space="preserve">;L= cfO{= e]G^ kfOk   3æ </t>
    </r>
    <r>
      <rPr>
        <sz val="10"/>
        <rFont val="Times New Roman"/>
        <family val="1"/>
      </rPr>
      <t>ø</t>
    </r>
  </si>
  <si>
    <r>
      <t xml:space="preserve">;L= cfO{= e]G^ kfOk   4æ </t>
    </r>
    <r>
      <rPr>
        <sz val="10"/>
        <rFont val="Times New Roman"/>
        <family val="1"/>
      </rPr>
      <t>ø</t>
    </r>
  </si>
  <si>
    <r>
      <t xml:space="preserve">P;= *An=" kfOk     6æ </t>
    </r>
    <r>
      <rPr>
        <sz val="10"/>
        <rFont val="Times New Roman"/>
        <family val="1"/>
      </rPr>
      <t>ø</t>
    </r>
  </si>
  <si>
    <r>
      <t xml:space="preserve">P;= *Jn=" ^L=      4æ </t>
    </r>
    <r>
      <rPr>
        <sz val="10"/>
        <rFont val="Times New Roman"/>
        <family val="1"/>
      </rPr>
      <t>ø</t>
    </r>
  </si>
  <si>
    <r>
      <t xml:space="preserve">P;= *Jn=" ^L=      6æ </t>
    </r>
    <r>
      <rPr>
        <sz val="10"/>
        <rFont val="Times New Roman"/>
        <family val="1"/>
      </rPr>
      <t>ø</t>
    </r>
  </si>
  <si>
    <r>
      <t xml:space="preserve">P;= *Jn=" a]G^     4æ </t>
    </r>
    <r>
      <rPr>
        <sz val="10"/>
        <rFont val="Times New Roman"/>
        <family val="1"/>
      </rPr>
      <t>ø</t>
    </r>
  </si>
  <si>
    <r>
      <t xml:space="preserve">P;= *Jn=" a]G^     6æ </t>
    </r>
    <r>
      <rPr>
        <sz val="10"/>
        <rFont val="Times New Roman"/>
        <family val="1"/>
      </rPr>
      <t>ø</t>
    </r>
  </si>
  <si>
    <t xml:space="preserve">km\nf]l/ª ;DalGw </t>
  </si>
  <si>
    <t>20=1</t>
  </si>
  <si>
    <t>3 dL= dL= df{jn lrK; -25 s]= hL=_</t>
  </si>
  <si>
    <t>20=2</t>
  </si>
  <si>
    <t>sfjf{]/]G*d ("uf+</t>
  </si>
  <si>
    <t>20=3</t>
  </si>
  <si>
    <t xml:space="preserve">kf];L{nLg Un]H* ^fPn </t>
  </si>
  <si>
    <t>20=3=1</t>
  </si>
  <si>
    <t xml:space="preserve">;]]tf] </t>
  </si>
  <si>
    <t>20=3=2</t>
  </si>
  <si>
    <t>/+uLg</t>
  </si>
  <si>
    <t>20=4</t>
  </si>
  <si>
    <t>Vetrified Tile Floor tile 2'x2'</t>
  </si>
  <si>
    <t>20=5</t>
  </si>
  <si>
    <t>:kf^]s ^fPn</t>
  </si>
  <si>
    <t>20=6</t>
  </si>
  <si>
    <t>kf]lnlyg l;^</t>
  </si>
  <si>
    <t>20=7</t>
  </si>
  <si>
    <t>jf^/ k|"km sDkfpG*</t>
  </si>
  <si>
    <t>s]= hL=</t>
  </si>
  <si>
    <t>20=8</t>
  </si>
  <si>
    <t>^f/km]N^ l;^</t>
  </si>
  <si>
    <t>20=9</t>
  </si>
  <si>
    <r>
      <t>Sn] ^fPn 4æ</t>
    </r>
    <r>
      <rPr>
        <sz val="10"/>
        <rFont val="Times New Roman"/>
        <family val="1"/>
      </rPr>
      <t>x</t>
    </r>
    <r>
      <rPr>
        <sz val="10"/>
        <rFont val="FONTASY_HIMALI_TT"/>
        <family val="5"/>
      </rPr>
      <t>4Æ</t>
    </r>
  </si>
  <si>
    <t>20=10</t>
  </si>
  <si>
    <t xml:space="preserve">dfj{n ^fPn </t>
  </si>
  <si>
    <t xml:space="preserve">dfj{n  </t>
  </si>
  <si>
    <t>21=1</t>
  </si>
  <si>
    <t>;]tf]</t>
  </si>
  <si>
    <t>21=2</t>
  </si>
  <si>
    <t>xl/of]</t>
  </si>
  <si>
    <t>21=3</t>
  </si>
  <si>
    <t>/ftf]</t>
  </si>
  <si>
    <t>Miscellaneous PVC  Item</t>
  </si>
  <si>
    <t>4" ø PVC Filter</t>
  </si>
  <si>
    <t>4" ø PVC Sand trap</t>
  </si>
  <si>
    <t>1½ ø PVC 3.6 mm</t>
  </si>
  <si>
    <t>1½ ø PVC filter 4 mm</t>
  </si>
  <si>
    <t>1½ ø PVC sand trap</t>
  </si>
  <si>
    <t>1½ ø PVC adopter</t>
  </si>
  <si>
    <t>PVC bottle trap</t>
  </si>
  <si>
    <t>No</t>
  </si>
  <si>
    <t>Connection pipe</t>
  </si>
  <si>
    <t>Angle cock</t>
  </si>
  <si>
    <t>Concealed cock</t>
  </si>
  <si>
    <t>Sink tap</t>
  </si>
  <si>
    <t>Bib cock tap (ISO)</t>
  </si>
  <si>
    <t>Coplin for basin</t>
  </si>
  <si>
    <r>
      <t xml:space="preserve">Ogf/sf] nflu cf/;L;L l/ª </t>
    </r>
    <r>
      <rPr>
        <sz val="10"/>
        <rFont val="Times New Roman Baltic"/>
        <family val="1"/>
        <charset val="186"/>
      </rPr>
      <t>90x30x5 cm</t>
    </r>
  </si>
  <si>
    <r>
      <t xml:space="preserve">Ogf/sf] nflu cf/;L;L l/ª se/ </t>
    </r>
    <r>
      <rPr>
        <sz val="10"/>
        <rFont val="Times New Roman Baltic"/>
        <family val="1"/>
        <charset val="186"/>
      </rPr>
      <t>90x5 cm</t>
    </r>
  </si>
  <si>
    <t>600 dL=dL=sf] Dofgxf]n se/ km|]d ls ;d]t</t>
  </si>
  <si>
    <r>
      <t>45</t>
    </r>
    <r>
      <rPr>
        <sz val="14"/>
        <rFont val="Times New Roman"/>
        <family val="1"/>
      </rPr>
      <t>x</t>
    </r>
    <r>
      <rPr>
        <sz val="10"/>
        <rFont val="FONTASY_ HIMALI_ TT"/>
        <family val="5"/>
      </rPr>
      <t>45 ;]=dL= juf{sf/ cfsf/sf] kmnfdsf] Dofgxf]n se/</t>
    </r>
  </si>
  <si>
    <r>
      <t>l;=cfO{= Dofgxf]n se/ -24</t>
    </r>
    <r>
      <rPr>
        <sz val="14"/>
        <rFont val="Times New Roman"/>
        <family val="1"/>
      </rPr>
      <t>x</t>
    </r>
    <r>
      <rPr>
        <sz val="10"/>
        <rFont val="FONTASY_ HIMALI_ TT"/>
        <family val="5"/>
      </rPr>
      <t>24 ;]=dL=_ -24 s]=hL= j]^_</t>
    </r>
  </si>
  <si>
    <r>
      <t>&amp;=! Pr=8L=kL=kfOk -</t>
    </r>
    <r>
      <rPr>
        <b/>
        <sz val="18"/>
        <rFont val="Times New Roman"/>
        <family val="1"/>
      </rPr>
      <t>NS-40</t>
    </r>
    <r>
      <rPr>
        <b/>
        <sz val="20"/>
        <rFont val="Preeti"/>
      </rPr>
      <t>_</t>
    </r>
  </si>
  <si>
    <t>s|=;+=</t>
  </si>
  <si>
    <t>kfOk ;fOh</t>
  </si>
  <si>
    <t>dL=dL=</t>
  </si>
  <si>
    <t>OGr</t>
  </si>
  <si>
    <r>
      <t>2.5 kg/cm</t>
    </r>
    <r>
      <rPr>
        <vertAlign val="superscript"/>
        <sz val="16"/>
        <rFont val="Times New Roman"/>
        <family val="1"/>
      </rPr>
      <t>2</t>
    </r>
  </si>
  <si>
    <r>
      <t>4 kg/cm</t>
    </r>
    <r>
      <rPr>
        <vertAlign val="superscript"/>
        <sz val="16"/>
        <rFont val="Times New Roman"/>
        <family val="1"/>
      </rPr>
      <t>2</t>
    </r>
  </si>
  <si>
    <r>
      <t>6 kg/cm</t>
    </r>
    <r>
      <rPr>
        <vertAlign val="superscript"/>
        <sz val="16"/>
        <rFont val="Times New Roman"/>
        <family val="1"/>
      </rPr>
      <t>2</t>
    </r>
  </si>
  <si>
    <r>
      <t>10 kg/cm</t>
    </r>
    <r>
      <rPr>
        <vertAlign val="superscript"/>
        <sz val="16"/>
        <rFont val="Times New Roman"/>
        <family val="1"/>
      </rPr>
      <t>2</t>
    </r>
  </si>
  <si>
    <t>1/4"</t>
  </si>
  <si>
    <t>k|lt /=dL=</t>
  </si>
  <si>
    <t>-</t>
  </si>
  <si>
    <t>1/2"</t>
  </si>
  <si>
    <t>3/4"</t>
  </si>
  <si>
    <t>1"</t>
  </si>
  <si>
    <t>1.25"</t>
  </si>
  <si>
    <t>1.5"</t>
  </si>
  <si>
    <t>2"</t>
  </si>
  <si>
    <t>2.5"</t>
  </si>
  <si>
    <t>3"</t>
  </si>
  <si>
    <t>4"</t>
  </si>
  <si>
    <t>4.5"</t>
  </si>
  <si>
    <t>5"</t>
  </si>
  <si>
    <t>6"</t>
  </si>
  <si>
    <t>7"</t>
  </si>
  <si>
    <t>8"</t>
  </si>
  <si>
    <t>9"</t>
  </si>
  <si>
    <t>10"</t>
  </si>
  <si>
    <t>11"</t>
  </si>
  <si>
    <t>12"</t>
  </si>
  <si>
    <t>14"</t>
  </si>
  <si>
    <t>16"</t>
  </si>
  <si>
    <t>20mm</t>
  </si>
  <si>
    <t>25mm</t>
  </si>
  <si>
    <t>32mm</t>
  </si>
  <si>
    <t>40mm</t>
  </si>
  <si>
    <t>50mm</t>
  </si>
  <si>
    <t>63mm</t>
  </si>
  <si>
    <t>75mm</t>
  </si>
  <si>
    <t>90mm</t>
  </si>
  <si>
    <t>110mm</t>
  </si>
  <si>
    <t>Tee</t>
  </si>
  <si>
    <t>Coupler (socket)</t>
  </si>
  <si>
    <t>End cap</t>
  </si>
  <si>
    <t>Stop valve</t>
  </si>
  <si>
    <t>Ball valve (Plastic)</t>
  </si>
  <si>
    <t>Low footed pipe clip</t>
  </si>
  <si>
    <t>High footed pipe clip</t>
  </si>
  <si>
    <t>"Y" type pipe clip</t>
  </si>
  <si>
    <t>Union (plastic)</t>
  </si>
  <si>
    <t>Ball valve (Brass)</t>
  </si>
  <si>
    <t>Short Passover</t>
  </si>
  <si>
    <t>Long Bypass</t>
  </si>
  <si>
    <t>Cross tee</t>
  </si>
  <si>
    <t>End plug</t>
  </si>
  <si>
    <t>Long End plug</t>
  </si>
  <si>
    <t>End plug with Ring</t>
  </si>
  <si>
    <t>Concealed valve (Nor)</t>
  </si>
  <si>
    <t>Concealed valve (Lux)</t>
  </si>
  <si>
    <t>25*20mm</t>
  </si>
  <si>
    <t>32*20mm</t>
  </si>
  <si>
    <t>32*25mm</t>
  </si>
  <si>
    <t>Reducing elbow</t>
  </si>
  <si>
    <t>Reducing coupler</t>
  </si>
  <si>
    <t>40*20mm</t>
  </si>
  <si>
    <t>40*25mm</t>
  </si>
  <si>
    <t>40*32mm</t>
  </si>
  <si>
    <t>50*20mm</t>
  </si>
  <si>
    <t>50*25mm</t>
  </si>
  <si>
    <t>50*32mm</t>
  </si>
  <si>
    <t>50*40mm</t>
  </si>
  <si>
    <t>63*20mm</t>
  </si>
  <si>
    <t>63*25mm</t>
  </si>
  <si>
    <t>63*32mm</t>
  </si>
  <si>
    <t>63*40mm</t>
  </si>
  <si>
    <t>63*50mm</t>
  </si>
  <si>
    <t>75*40mm</t>
  </si>
  <si>
    <t>75*50mm</t>
  </si>
  <si>
    <t>75*63mm</t>
  </si>
  <si>
    <t>90*50mm</t>
  </si>
  <si>
    <t>90*63mm</t>
  </si>
  <si>
    <t>90*75mm</t>
  </si>
  <si>
    <t>110*75mm</t>
  </si>
  <si>
    <t>110*90mm</t>
  </si>
  <si>
    <t>25*20*25</t>
  </si>
  <si>
    <t>32*20*32</t>
  </si>
  <si>
    <t>32*25*32</t>
  </si>
  <si>
    <t>40*20*40</t>
  </si>
  <si>
    <t>40*25*40</t>
  </si>
  <si>
    <t>40*32*40</t>
  </si>
  <si>
    <t>50*20*50</t>
  </si>
  <si>
    <t>50*25*50</t>
  </si>
  <si>
    <t>50*32*50</t>
  </si>
  <si>
    <t>Reducing Tee</t>
  </si>
  <si>
    <t>50*40*50</t>
  </si>
  <si>
    <t>63*20*63</t>
  </si>
  <si>
    <t>63*25*63</t>
  </si>
  <si>
    <t>63*32*63</t>
  </si>
  <si>
    <t>63*40*63</t>
  </si>
  <si>
    <t>63*50*63</t>
  </si>
  <si>
    <t>75*50*75</t>
  </si>
  <si>
    <t>75*63*75</t>
  </si>
  <si>
    <t>90*63*90</t>
  </si>
  <si>
    <t>90*75*90</t>
  </si>
  <si>
    <t>110*75*110</t>
  </si>
  <si>
    <t>110*90*110</t>
  </si>
  <si>
    <t>32*1"</t>
  </si>
  <si>
    <t>Female coupling</t>
  </si>
  <si>
    <t>Male coupling</t>
  </si>
  <si>
    <t>Female union</t>
  </si>
  <si>
    <t>Male union</t>
  </si>
  <si>
    <t>Metal Ball Valve double</t>
  </si>
  <si>
    <t>Metal Ball Valve Single</t>
  </si>
  <si>
    <t>Male Elbow</t>
  </si>
  <si>
    <t>Female Tee</t>
  </si>
  <si>
    <t>Male Tee</t>
  </si>
  <si>
    <t>Female Base Elbow</t>
  </si>
  <si>
    <t>Male Base Elbow</t>
  </si>
  <si>
    <t>Remarks</t>
  </si>
  <si>
    <t>160mm</t>
  </si>
  <si>
    <t>Coupler</t>
  </si>
  <si>
    <t>Pc</t>
  </si>
  <si>
    <t>Bend 87.5º</t>
  </si>
  <si>
    <t>Bend 45º</t>
  </si>
  <si>
    <t>Single Tee</t>
  </si>
  <si>
    <t>Pipe Clip</t>
  </si>
  <si>
    <t>Bend 87.5º with Door</t>
  </si>
  <si>
    <t>Single Tee with Door</t>
  </si>
  <si>
    <t>Double Tee</t>
  </si>
  <si>
    <t>Double Tee with Door</t>
  </si>
  <si>
    <t>Vent Cowl</t>
  </si>
  <si>
    <t>Socket Plug</t>
  </si>
  <si>
    <t>Single 'Y'</t>
  </si>
  <si>
    <t>Single 'Y' with Door</t>
  </si>
  <si>
    <t>Double 'Y'</t>
  </si>
  <si>
    <t>Double 'Y' with Door</t>
  </si>
  <si>
    <t>Cleaning pipe</t>
  </si>
  <si>
    <t>Reducer 160*110mm</t>
  </si>
  <si>
    <t>Reducer 110*75mm</t>
  </si>
  <si>
    <t>Reducer 75*50mm</t>
  </si>
  <si>
    <t>P' Trap 125*110mm</t>
  </si>
  <si>
    <t>P' Trap 110*110mm</t>
  </si>
  <si>
    <t>P' Trap 75*75mm</t>
  </si>
  <si>
    <t>Multi floor Trap 110*75mm</t>
  </si>
  <si>
    <t>Nahani Trap 110*75mm</t>
  </si>
  <si>
    <t>W.C. Connector (Bent type)</t>
  </si>
  <si>
    <t>Square Tile with Jali</t>
  </si>
  <si>
    <t>Round Jali</t>
  </si>
  <si>
    <t>End Cap (50mm)</t>
  </si>
  <si>
    <t xml:space="preserve">kfO{k lkml^ª\; PgP; </t>
  </si>
  <si>
    <t>15 ld=ld=kh=Pd=jf; km]/f]n</t>
  </si>
  <si>
    <t xml:space="preserve">k|lt uf]^f </t>
  </si>
  <si>
    <t>20 ld=ld=Aof; lh=Pd=a|f; km]/f]n</t>
  </si>
  <si>
    <t>25 ld=ld=Aof; lh=Pd=a|f; km]/f]n</t>
  </si>
  <si>
    <t>15 ld=ld=lh=Pd=Nkmf] /]u'n]l^ª km]/f]n</t>
  </si>
  <si>
    <t>15 ld=ld= lkQnsf] wf/f 400 u}fdsf]</t>
  </si>
  <si>
    <r>
      <t xml:space="preserve">lh=cfO{= ;s]^ </t>
    </r>
    <r>
      <rPr>
        <b/>
        <sz val="10"/>
        <rFont val="Aral"/>
      </rPr>
      <t>NS Mark (ISI Heavy)</t>
    </r>
  </si>
  <si>
    <t>15 ld=ld= Aof;</t>
  </si>
  <si>
    <t>20 ld=ld= Aof;</t>
  </si>
  <si>
    <t>25 ld=ld= Aof;</t>
  </si>
  <si>
    <t>32 ld=ld= Aof;</t>
  </si>
  <si>
    <t>40 ld=ld= Aof;</t>
  </si>
  <si>
    <t>50 ld=ld= Aof;</t>
  </si>
  <si>
    <t>65 ld=ld= Aof;</t>
  </si>
  <si>
    <t>80 ld=ld= Aof;</t>
  </si>
  <si>
    <t>100 ld=ld= Aof;</t>
  </si>
  <si>
    <r>
      <t xml:space="preserve">lh=cfO{= Pnaf] </t>
    </r>
    <r>
      <rPr>
        <b/>
        <sz val="10"/>
        <rFont val="Aril"/>
      </rPr>
      <t>NS Mark (ISI Heavy)</t>
    </r>
  </si>
  <si>
    <t>lh=cfO{=^L -Pg=P;=383_</t>
  </si>
  <si>
    <t>lh=cfO{=o"lgog</t>
  </si>
  <si>
    <t>lh=cfO{= O)*Sofk</t>
  </si>
  <si>
    <t>lh=cfO{= /]*';/ ^L</t>
  </si>
  <si>
    <t>lh=cfO{= /]*';/ ;s]^</t>
  </si>
  <si>
    <t>lh=cfO{= /]*';/ PNaf]</t>
  </si>
  <si>
    <t>lh=cfO{=;^{ a])*</t>
  </si>
  <si>
    <t>15 ld=ld=Aof;</t>
  </si>
  <si>
    <t>lh=cfO{= lgKkn 2 O~r nfdf]</t>
  </si>
  <si>
    <t>lh=cfO{= lgKkn 3 O~r nfdf]</t>
  </si>
  <si>
    <t>lh=cfO{= lgKkn 4 O~r nfdf]</t>
  </si>
  <si>
    <t>125 ld=ld= aof;</t>
  </si>
  <si>
    <t xml:space="preserve">150 ld=ld= Aof; </t>
  </si>
  <si>
    <t>lh=cfO{= lgKkn 6 O~r nfdf]</t>
  </si>
  <si>
    <t>lh=cfO{= lgKkn 9 O~r nfdf]</t>
  </si>
  <si>
    <t>lh=cfO{= lgKkn 12 O~r nfdf]</t>
  </si>
  <si>
    <t>lh=cfO{=Knu</t>
  </si>
  <si>
    <t>ug d]^n u]^eNa</t>
  </si>
  <si>
    <t>ug d]^n Unf]a eNa</t>
  </si>
  <si>
    <t>ug d]^n Nkmf]^ eNa</t>
  </si>
  <si>
    <t>l;=cfO{=Po/ eNa</t>
  </si>
  <si>
    <t>20 ld=ld=Aof;</t>
  </si>
  <si>
    <r>
      <t xml:space="preserve">ug d]^n r]s eNa </t>
    </r>
    <r>
      <rPr>
        <b/>
        <sz val="10"/>
        <rFont val="Aril"/>
      </rPr>
      <t>Horizontal Flow</t>
    </r>
  </si>
  <si>
    <r>
      <t xml:space="preserve">ug d]^n r]s eNa </t>
    </r>
    <r>
      <rPr>
        <b/>
        <sz val="10"/>
        <rFont val="Arial"/>
        <family val="2"/>
      </rPr>
      <t>V</t>
    </r>
    <r>
      <rPr>
        <b/>
        <sz val="10"/>
        <rFont val="Aril"/>
      </rPr>
      <t>ertical  Flow</t>
    </r>
  </si>
  <si>
    <t>lh=cfO{=÷lh=cfO{=Nkm]~h</t>
  </si>
  <si>
    <t>lh=cfO{=÷Pr=*L=kL=Nkm]~h</t>
  </si>
  <si>
    <t>65ld=ld Aof;</t>
  </si>
  <si>
    <t xml:space="preserve">Kf||lt uf]^f </t>
  </si>
  <si>
    <t>80ld=ld Aof;</t>
  </si>
  <si>
    <t xml:space="preserve">Pr=*L=kL=÷Pr=*L=kL=Nkm]~h </t>
  </si>
  <si>
    <t>63 ld=ld=Jof;\</t>
  </si>
  <si>
    <t>75 ld=ld=Aof;</t>
  </si>
  <si>
    <t>110 ld=ld=Jof;</t>
  </si>
  <si>
    <t>jf; o'lgog P*]K^/ ;d]t</t>
  </si>
  <si>
    <t>25 ld=ld=Aof;</t>
  </si>
  <si>
    <t>32 ld=ld=Aof;</t>
  </si>
  <si>
    <t>40 ld=ld=Aof;</t>
  </si>
  <si>
    <t>50 ld=ld=Aof;</t>
  </si>
  <si>
    <t>:of*n km]/f]n</t>
  </si>
  <si>
    <r>
      <t xml:space="preserve">40ldld= :of*n km]/f]n </t>
    </r>
    <r>
      <rPr>
        <sz val="10"/>
        <rFont val="Arial"/>
        <family val="2"/>
      </rPr>
      <t>1</t>
    </r>
    <r>
      <rPr>
        <vertAlign val="superscript"/>
        <sz val="10"/>
        <rFont val="Arial"/>
        <family val="2"/>
      </rPr>
      <t>1/2</t>
    </r>
    <r>
      <rPr>
        <sz val="10"/>
        <rFont val="Arial"/>
        <family val="2"/>
      </rPr>
      <t>x1/2* PVC</t>
    </r>
  </si>
  <si>
    <r>
      <t>50ldld= :of*n km]/f]n 2</t>
    </r>
    <r>
      <rPr>
        <sz val="10"/>
        <rFont val="Arial"/>
        <family val="2"/>
      </rPr>
      <t>x1/2* PVC</t>
    </r>
  </si>
  <si>
    <r>
      <t xml:space="preserve">80ldld= :of*n km]/f]n </t>
    </r>
    <r>
      <rPr>
        <sz val="10"/>
        <rFont val="Arial"/>
        <family val="2"/>
      </rPr>
      <t>3x1/2* PVC</t>
    </r>
  </si>
  <si>
    <r>
      <t xml:space="preserve">100ldld= :of*n km]/f]n </t>
    </r>
    <r>
      <rPr>
        <sz val="10"/>
        <rFont val="Arial"/>
        <family val="2"/>
      </rPr>
      <t>4</t>
    </r>
    <r>
      <rPr>
        <sz val="10"/>
        <rFont val="Arial"/>
        <family val="2"/>
      </rPr>
      <t>x1/2* PVC</t>
    </r>
  </si>
  <si>
    <t>50mmx32mm</t>
  </si>
  <si>
    <t>50mmx40mm</t>
  </si>
  <si>
    <t>63mmx32mm</t>
  </si>
  <si>
    <t>63mmx40mm</t>
  </si>
  <si>
    <t>63mmx50mm</t>
  </si>
  <si>
    <t>75mmx32mm</t>
  </si>
  <si>
    <t>75mmx40mm</t>
  </si>
  <si>
    <t>75mmx50mm</t>
  </si>
  <si>
    <t>75mmx63mm</t>
  </si>
  <si>
    <t>90mmx32mm</t>
  </si>
  <si>
    <t>90mmx40mm</t>
  </si>
  <si>
    <t>90mmx50mm</t>
  </si>
  <si>
    <t>90mmx63mm</t>
  </si>
  <si>
    <t>90mmx75mm</t>
  </si>
  <si>
    <t>110mmx32mm</t>
  </si>
  <si>
    <t>110mmx40mm</t>
  </si>
  <si>
    <t>110mmx50mm</t>
  </si>
  <si>
    <t>110mmx63mm</t>
  </si>
  <si>
    <t>110mmx75mm</t>
  </si>
  <si>
    <t>110mmx90mm</t>
  </si>
  <si>
    <t>125mmx32mm</t>
  </si>
  <si>
    <t>125mmx40mm</t>
  </si>
  <si>
    <t>125mmx50mm</t>
  </si>
  <si>
    <t>125mmx63mm</t>
  </si>
  <si>
    <t>125mmx75mm</t>
  </si>
  <si>
    <t>125mmx90mm</t>
  </si>
  <si>
    <t>125mmx110mm</t>
  </si>
  <si>
    <t>140mmx32mm</t>
  </si>
  <si>
    <t>140mmx40mm</t>
  </si>
  <si>
    <t>140mmx50mm</t>
  </si>
  <si>
    <t>140mmx63mm</t>
  </si>
  <si>
    <t>140mmx75mm</t>
  </si>
  <si>
    <t>140mmx90mm</t>
  </si>
  <si>
    <t>140mmx110mm</t>
  </si>
  <si>
    <t>160mmx32mm</t>
  </si>
  <si>
    <t>160mmx40mm</t>
  </si>
  <si>
    <t>160mmx50mm</t>
  </si>
  <si>
    <t>160mmx63mm</t>
  </si>
  <si>
    <t>160mmx75mm</t>
  </si>
  <si>
    <t>160mmx90mm</t>
  </si>
  <si>
    <t>160mmx110mm</t>
  </si>
  <si>
    <t>180mmx32mm</t>
  </si>
  <si>
    <t>180mmx40mm</t>
  </si>
  <si>
    <t>180mmx50mm</t>
  </si>
  <si>
    <t>180mmx63mm</t>
  </si>
  <si>
    <t>180mmx75mm</t>
  </si>
  <si>
    <t>180mmx90mm</t>
  </si>
  <si>
    <t>180mmx110mm</t>
  </si>
  <si>
    <t>200mmx32mm</t>
  </si>
  <si>
    <t>200mmx40mm</t>
  </si>
  <si>
    <t>200mmx50mm</t>
  </si>
  <si>
    <t>200mmx63mm</t>
  </si>
  <si>
    <t>200mmx75mm</t>
  </si>
  <si>
    <t>200mmx90mm</t>
  </si>
  <si>
    <t>200mmx110mm</t>
  </si>
  <si>
    <t>225mmx32mm</t>
  </si>
  <si>
    <t>225mmx40mm</t>
  </si>
  <si>
    <t>225mmx50mm</t>
  </si>
  <si>
    <t>225mmx63mm</t>
  </si>
  <si>
    <t>225mmx75mm</t>
  </si>
  <si>
    <t>225mmx90mm</t>
  </si>
  <si>
    <t>225mmx110mm</t>
  </si>
  <si>
    <t>^+lssf] lgKkn</t>
  </si>
  <si>
    <t>15ld=ld Aof;</t>
  </si>
  <si>
    <t>20ld=ld Aof;</t>
  </si>
  <si>
    <t>25ld=ld Aof;</t>
  </si>
  <si>
    <t>32ld=ld Aof;</t>
  </si>
  <si>
    <t>40ld=ld=Aof;</t>
  </si>
  <si>
    <t>100ld=ld Aof;</t>
  </si>
  <si>
    <t>125ld=ld Aof;</t>
  </si>
  <si>
    <t>150ld=ld Aof;</t>
  </si>
  <si>
    <t>ug d]^n gg l/^g{ eNe</t>
  </si>
  <si>
    <t>lj=lk=l^=sf] a|f;sf] kmnf]^ eNe</t>
  </si>
  <si>
    <t>kmnfdsf] ;]*n ;s]^ ;d]t</t>
  </si>
  <si>
    <t>50ld=ld Aof;</t>
  </si>
  <si>
    <t>Stainiess Steel Easy Clamp</t>
  </si>
  <si>
    <t>125mm</t>
  </si>
  <si>
    <t>140mm</t>
  </si>
  <si>
    <t>180mm</t>
  </si>
  <si>
    <t>200mm</t>
  </si>
  <si>
    <t>225mm</t>
  </si>
  <si>
    <t>250mm</t>
  </si>
  <si>
    <t>315mm</t>
  </si>
  <si>
    <t>365mm</t>
  </si>
  <si>
    <t>HDPE Reducer Socket (6kgf/cm2)</t>
  </si>
  <si>
    <t>50mmx20mm</t>
  </si>
  <si>
    <t>50mmx25mm</t>
  </si>
  <si>
    <t>63mmx20mm</t>
  </si>
  <si>
    <t>63mmx25mm</t>
  </si>
  <si>
    <t>140mmx125mm</t>
  </si>
  <si>
    <t>160mmx125mm</t>
  </si>
  <si>
    <t>160mmx140mm</t>
  </si>
  <si>
    <t>180mmx125mm</t>
  </si>
  <si>
    <t>180mmx140mm</t>
  </si>
  <si>
    <t>180mmx160mm</t>
  </si>
  <si>
    <t>200mmx125mm</t>
  </si>
  <si>
    <t>200mmx140mm</t>
  </si>
  <si>
    <t>200mmx160mm</t>
  </si>
  <si>
    <t>200mmx180mm</t>
  </si>
  <si>
    <t>225mmx125mm</t>
  </si>
  <si>
    <t>225mmx140mm</t>
  </si>
  <si>
    <t>225mmx160mm</t>
  </si>
  <si>
    <t>225mmx180mm</t>
  </si>
  <si>
    <t>225mmx200mm</t>
  </si>
  <si>
    <t>HDPE Reducer Tee (6kgf/cm2)</t>
  </si>
  <si>
    <t>40mmx32mm</t>
  </si>
  <si>
    <t>60mmx32mm</t>
  </si>
  <si>
    <t>HDPE Equal Tee (6kgf/cm2)</t>
  </si>
  <si>
    <t>280mm</t>
  </si>
  <si>
    <t>HDPEBend 90 (6kgf/cm2)</t>
  </si>
  <si>
    <t>Readymade Washer</t>
  </si>
  <si>
    <t>65mm</t>
  </si>
  <si>
    <t>80mm</t>
  </si>
  <si>
    <t>100mm</t>
  </si>
  <si>
    <t>Rubber Seal</t>
  </si>
  <si>
    <t>DEEP Tube Well</t>
  </si>
  <si>
    <t>Pea Gravel</t>
  </si>
  <si>
    <t>Gasket</t>
  </si>
  <si>
    <t>KG</t>
  </si>
  <si>
    <t>Bentonite</t>
  </si>
  <si>
    <t>Barite</t>
  </si>
  <si>
    <t>MS Casing pipe 10"</t>
  </si>
  <si>
    <t>MS Casing pipe 8"</t>
  </si>
  <si>
    <t>MS Casing pipe 6"</t>
  </si>
  <si>
    <t>Reducer 8/6"</t>
  </si>
  <si>
    <t>Flange-Set 8 "</t>
  </si>
  <si>
    <t>Shallow Tube Well</t>
  </si>
  <si>
    <t>MS Pipe Treeaded- 4"ø</t>
  </si>
  <si>
    <t>Bottle T(Well Head-T)</t>
  </si>
  <si>
    <t>Nipple 4"ø 4" length</t>
  </si>
  <si>
    <t>Heavy Socket  4"ø</t>
  </si>
  <si>
    <t>Nipple 1.5"ø 9" long</t>
  </si>
  <si>
    <t>Non-return Valve 4"ø</t>
  </si>
  <si>
    <t>CI Cap 4"ø</t>
  </si>
  <si>
    <t>CI Cap 1.5"ø</t>
  </si>
  <si>
    <t>PVC Screen Making Charge</t>
  </si>
  <si>
    <t>RM</t>
  </si>
  <si>
    <t>MS Screen Making Charge</t>
  </si>
  <si>
    <t>Noke Making Charge</t>
  </si>
  <si>
    <t>Nylon Net</t>
  </si>
  <si>
    <t>Mtr</t>
  </si>
  <si>
    <t>Shallow Tubewell Drilling Charge(Manual)</t>
  </si>
  <si>
    <t>Sludge Method</t>
  </si>
  <si>
    <t>HammeringMethod</t>
  </si>
  <si>
    <t>Cost of Summercible PumpsTube Well</t>
  </si>
  <si>
    <t>5HP Motor pump (4" Boring,Economic Head Upto 50m)</t>
  </si>
  <si>
    <t>6HP Motor pump (4" Boring,Economic Head Upto 75m)</t>
  </si>
  <si>
    <t>7.5HP Motor pump (6" Boring,Economic Head Upto 100m)</t>
  </si>
  <si>
    <t>10HP Motor pump (6" Boring,Economic Head Upto 150m)</t>
  </si>
  <si>
    <t>15HP Motor pump (8" Boring,Economic Head Upto 150m)</t>
  </si>
  <si>
    <t>20HP Motor pump (10" Boring,Economic Head Upto 150m)</t>
  </si>
  <si>
    <t>25-30HP Motor pump (&gt;10" Boring,Economic Head Upto )</t>
  </si>
  <si>
    <t>Flexible submerssible copper flat cable</t>
  </si>
  <si>
    <t>6 sq.mm.</t>
  </si>
  <si>
    <t>cNd'lgod ufu|f] -@) ln6/_</t>
  </si>
  <si>
    <t>uf]6f</t>
  </si>
  <si>
    <t>:yfgLo jGr/f]</t>
  </si>
  <si>
    <t>a]Nrf -l:6nsf] lj8 ePsf]_ 6f6f jf ;f] ;/x</t>
  </si>
  <si>
    <t>sf]bfnf] - !=%) lsnf] _ 6f6f jf ;f] ;/x</t>
  </si>
  <si>
    <t>u}+tL - @=&amp;) lsnf] _ 6f6f,n'w/f jf ;f] ;/x</t>
  </si>
  <si>
    <t>u}+tL - @=@) lsnf] _ 6f6f,n'w/f jf ;f] ;/x</t>
  </si>
  <si>
    <t>emDkn - !=@%ORrL  %lkm6_ 6f6f jf ;f] ;/x</t>
  </si>
  <si>
    <t>l5gf] - ^OGr nfdf] #@ PdPd_</t>
  </si>
  <si>
    <t>l5gf] - (OGr nfdf] #@ PdPd_</t>
  </si>
  <si>
    <t>ls+u lkg l5gf] 6f6f , n'w/f jf ;f] ;/x</t>
  </si>
  <si>
    <t>kmfnfdsf] 3g -%lsnf]_ 6f6f, n'w/f jf ;f] ;/x</t>
  </si>
  <si>
    <t>kmfnfdsf] 3g -@=%lsnf]_ 6f6f, n'w/f jf ;f] ;/x</t>
  </si>
  <si>
    <t>kmfnfdsf] 3g -! lsnf]_ 6f6f, n'w/f jf ;f] ;/x</t>
  </si>
  <si>
    <t xml:space="preserve">slg{ ld:qLsf] 7'nf] </t>
  </si>
  <si>
    <t>slg{ ld:qLsf] ;fgf]</t>
  </si>
  <si>
    <t>KnDa÷3G6L kmnfdsf]</t>
  </si>
  <si>
    <t>ld:qLsf] wfuf] #ld=ld=sf]</t>
  </si>
  <si>
    <t>Sjfon</t>
  </si>
  <si>
    <t>n]e/ kf/blz{÷kfgLkfOk</t>
  </si>
  <si>
    <t>ld6/</t>
  </si>
  <si>
    <t>kGhf -5fnfsf]_</t>
  </si>
  <si>
    <t>lJxn Jof/f] -6fo/ / kmnfdsf] x]08nePsf]_</t>
  </si>
  <si>
    <t>kDk -xftjf v'§fn]] rnfpg]_</t>
  </si>
  <si>
    <t>;'/Iff x]nd]t-Knfli6s_</t>
  </si>
  <si>
    <t>x]S;f km|]d</t>
  </si>
  <si>
    <t>x]S;f Jn]8 lz+un</t>
  </si>
  <si>
    <t>x]S;f Jn]8 8jn</t>
  </si>
  <si>
    <t>sf7 lrg]{ cf/f !* Ogr</t>
  </si>
  <si>
    <t>!) O{Grsf] r]K6f] /]tL</t>
  </si>
  <si>
    <t>!) O{Grsf] cfwf uf]nfsf/ /]tL</t>
  </si>
  <si>
    <t>:s|'o' 8«fOe/ @#) ldldsf]</t>
  </si>
  <si>
    <t>8fO ;]6 ;fwf/0f )=% b]lv @ OGr ;Dd</t>
  </si>
  <si>
    <t>8fO ;]6 c6f]d]l6s )=% b]lv @ OGr ;Dd</t>
  </si>
  <si>
    <t>;]6</t>
  </si>
  <si>
    <t>8fO ;]6 l/r]6 !% b]lv @% ld=ld= ;Dd</t>
  </si>
  <si>
    <t>8fO ;]6 l/r]6 $) b]lv %) ld=ld= ;Dd</t>
  </si>
  <si>
    <t>8fO ;]6 l/r]6 ^% b]lv *) ld=ld= ;Dd</t>
  </si>
  <si>
    <t>8fO ;]6 l6y !% ld=ld=</t>
  </si>
  <si>
    <t>8fO ;]6 l6y @) ld=ld=</t>
  </si>
  <si>
    <t>8fO ;]6 l6y @% ld=ld=</t>
  </si>
  <si>
    <t>8fO ;]6 l6y #@ ld=ld=</t>
  </si>
  <si>
    <t>8fO ;]6 l6y $) ld=ld=</t>
  </si>
  <si>
    <t>8fO ;]6 l6y %) ld=ld=</t>
  </si>
  <si>
    <t>8fO ;]6 l6y ^% ld=ld=</t>
  </si>
  <si>
    <t>8fO ;]6 l6y *) ld=ld=</t>
  </si>
  <si>
    <t>kfOk efO; @ Ogr ;Dd</t>
  </si>
  <si>
    <t>ydf]{s|f]d r]s</t>
  </si>
  <si>
    <t>½"</t>
  </si>
  <si>
    <t>¾"</t>
  </si>
  <si>
    <t>1¼"</t>
  </si>
  <si>
    <t>1½"</t>
  </si>
  <si>
    <t>4" x 4"</t>
  </si>
  <si>
    <t>4" x 6"</t>
  </si>
  <si>
    <t>6" x 8"</t>
  </si>
  <si>
    <t>8" x 10"</t>
  </si>
  <si>
    <t>8" x 12"</t>
  </si>
  <si>
    <t>18=1</t>
  </si>
  <si>
    <t>18=2</t>
  </si>
  <si>
    <t>18=3</t>
  </si>
  <si>
    <t>18=4</t>
  </si>
  <si>
    <t>18=5</t>
  </si>
  <si>
    <t>18=6</t>
  </si>
  <si>
    <t>18=7</t>
  </si>
  <si>
    <t>;]^</t>
  </si>
  <si>
    <t>47=1</t>
  </si>
  <si>
    <t>47=2</t>
  </si>
  <si>
    <t>47=3</t>
  </si>
  <si>
    <t>D - iron set with shakle insulator</t>
  </si>
  <si>
    <t>Stay-Insulator</t>
  </si>
  <si>
    <t>Binding wire (aluminium)</t>
  </si>
  <si>
    <t>Stringing of Conductor(0.03sq inchWire)</t>
  </si>
  <si>
    <t>Installation of Stay set</t>
  </si>
  <si>
    <t>laB"t h*fg ln:^L, lSnk, lsnf, :jLr xf]N)*/ cflb k|of]u ul/ leQf l;ln+udf Kjfn kfg]{]{ ;lxt tf/ tfGg] / ;DalGwt :jLr aS; cflb h*fg ug]{ .</t>
  </si>
  <si>
    <t xml:space="preserve">PSC Pole </t>
  </si>
  <si>
    <t xml:space="preserve">Transformer </t>
  </si>
  <si>
    <t>11/.4kv,25KVA 3 Phase, 50Hz ONAN (low loss)</t>
  </si>
  <si>
    <t>11/.4kv,50KVA 3 Phase, 50Hz ONAN (low loss)</t>
  </si>
  <si>
    <t>11/.4kv,100KVA 3 Phase, 50Hz ONAN (low loss)</t>
  </si>
  <si>
    <t>11/.4kv,150KVA 3 Phase, 50Hz ONAN (low loss)</t>
  </si>
  <si>
    <t>11/.4kv,200KVA 3 Phase, 50Hz ONAN (low loss)</t>
  </si>
  <si>
    <t>Electro mechanical component for micro hydro</t>
  </si>
  <si>
    <t>s=</t>
  </si>
  <si>
    <t>Mechanical Components</t>
  </si>
  <si>
    <t>Intake Accessories</t>
  </si>
  <si>
    <t>Coarse Trash rack (0.6m x 0.5)</t>
  </si>
  <si>
    <t>Sluice Gate (1.6  height 0.5x0.5 m opening )</t>
  </si>
  <si>
    <t>Pipe Accessories</t>
  </si>
  <si>
    <t>Penstock Pipe MS 225 mm ID, 3.5 mm thickness</t>
  </si>
  <si>
    <t>Turbine</t>
  </si>
  <si>
    <t>Crossflow turbine (T15) Runner Diameter 300 mm, Runner Length 75 mm, 540 RPM, Shaft power 10 kw</t>
  </si>
  <si>
    <t>Electrical Components</t>
  </si>
  <si>
    <t>Generator</t>
  </si>
  <si>
    <t>Synchronous, 15 KVA, 400 V, 1500 RPM</t>
  </si>
  <si>
    <t>Protection System</t>
  </si>
  <si>
    <t>MCCBs</t>
  </si>
  <si>
    <t>MCCB on the generator side (32A)</t>
  </si>
  <si>
    <t>MCCB after ELC (20 A)</t>
  </si>
  <si>
    <t>MCB for House Holds</t>
  </si>
  <si>
    <t>Earthing Set (600 x 600 x 3) mm  including 8 SWG copper wire</t>
  </si>
  <si>
    <t>Conductor</t>
  </si>
  <si>
    <t>ACSR Conductor (weasel)</t>
  </si>
  <si>
    <t>ACSR Conductor (Squirrel)</t>
  </si>
  <si>
    <t>3=3</t>
  </si>
  <si>
    <t>ACSR Conductor (Rabbit)</t>
  </si>
  <si>
    <t>3=4</t>
  </si>
  <si>
    <t>Concentric Cable 6 sq.m</t>
  </si>
  <si>
    <t>af+;sf] sl^é+ 5 lkm^ nDafO{</t>
  </si>
  <si>
    <t>sl^ª</t>
  </si>
  <si>
    <t>*f]/L g/Ljn</t>
  </si>
  <si>
    <t>*f]/L ags;</t>
  </si>
  <si>
    <t>*f]/L h'^sf]</t>
  </si>
  <si>
    <t xml:space="preserve">r^fO{ </t>
  </si>
  <si>
    <t>cf/=l;=l;=kf]n -sf+*]tf/jf/÷cGosf] nflu _</t>
  </si>
  <si>
    <r>
      <t>4</t>
    </r>
    <r>
      <rPr>
        <sz val="10"/>
        <rFont val="Arial"/>
        <family val="2"/>
      </rPr>
      <t>"X</t>
    </r>
    <r>
      <rPr>
        <sz val="10"/>
        <rFont val="FONTASY_ HIMALI_ TT"/>
        <family val="5"/>
      </rPr>
      <t>4</t>
    </r>
    <r>
      <rPr>
        <sz val="10"/>
        <rFont val="Arial"/>
        <family val="2"/>
      </rPr>
      <t>"X</t>
    </r>
    <r>
      <rPr>
        <sz val="10"/>
        <rFont val="FONTASY_ HIMALI_ TT"/>
        <family val="5"/>
      </rPr>
      <t xml:space="preserve">6 lkm^ nfdf] -7 PdPd df]^f] &amp;f*f] 4 j^f / 4.75 PdPd df]^f] /Lª 15;]dL b'/Ldf kmnfd] *)*L k|of]u ul/ lgdf{)f ul/Psf] </t>
    </r>
  </si>
  <si>
    <r>
      <t>4</t>
    </r>
    <r>
      <rPr>
        <sz val="10"/>
        <rFont val="Arial"/>
        <family val="2"/>
      </rPr>
      <t>"X</t>
    </r>
    <r>
      <rPr>
        <sz val="10"/>
        <rFont val="FONTASY_ HIMALI_ TT"/>
        <family val="5"/>
      </rPr>
      <t>4</t>
    </r>
    <r>
      <rPr>
        <sz val="10"/>
        <rFont val="Arial"/>
        <family val="2"/>
      </rPr>
      <t>"X</t>
    </r>
    <r>
      <rPr>
        <sz val="10"/>
        <rFont val="FONTASY_ HIMALI_ TT"/>
        <family val="5"/>
      </rPr>
      <t xml:space="preserve">7 lkm^ nfdf] lkm^ nfdf] -7 PdPd df]^f] &amp;f*f] 4j^f / 4.75 PdPd df]^f] /Lª 15;]dL b'/Ldf kmnfd] *)*L k|of]u ul/ lgdf{)f ul/Psf] </t>
    </r>
  </si>
  <si>
    <t>vfnL jf]/f -50s]]= hL= Ifdtf ePsf] h"^sf]_</t>
  </si>
  <si>
    <t>vfnL jf]/f -50s]]=hL=Ifdtf ePsf] Knf:^Lssf]_</t>
  </si>
  <si>
    <t>vfnL jf]/f -100s]]=hL= Ifdtf ePsf] h"^sf]_</t>
  </si>
  <si>
    <t>tf/ a|"; ;fdfGo</t>
  </si>
  <si>
    <t>/+u nufpg] a|";</t>
  </si>
  <si>
    <t>O{Gr</t>
  </si>
  <si>
    <t>y"G;]÷*f]sf]</t>
  </si>
  <si>
    <t>af+;sf] ^f]s/L</t>
  </si>
  <si>
    <t>a]tsf] ^f]s/L</t>
  </si>
  <si>
    <t>s"rf] -cld|;fsf]_</t>
  </si>
  <si>
    <t>s"rf] -afljofsf]_</t>
  </si>
  <si>
    <t>g/Ljnsf] emf*"</t>
  </si>
  <si>
    <t>l^Da/ skf]{/]zg;+u ;DalGwt</t>
  </si>
  <si>
    <t>sf&amp; bfp/f s^fg d"%fg ;DaGwL</t>
  </si>
  <si>
    <t xml:space="preserve">sf&amp;sf] uf]lnof sf&amp; s^fg d"%fg </t>
  </si>
  <si>
    <t>s_ uf]]lnof tyf aNnfaNnL s^fg, d"%fg</t>
  </si>
  <si>
    <t>k|lt #=lkm=</t>
  </si>
  <si>
    <t>v_ uf]]lnof tyf aNnfaNnL ofl*{é</t>
  </si>
  <si>
    <t>u_ uf]]lnof tyf aNnfaNnL nf]l*é</t>
  </si>
  <si>
    <t>#_ uf]]lnof tyf aNnfaNnL cgnf]l*é</t>
  </si>
  <si>
    <r>
      <t>ª_ uf]]lnof tyf aNnfaNnL af]s|f lemSg] / l/</t>
    </r>
    <r>
      <rPr>
        <sz val="12"/>
        <rFont val="Preeti"/>
      </rPr>
      <t>ª  sf6\g]</t>
    </r>
  </si>
  <si>
    <t>r_ uf]nLof sf&amp; kfonLé</t>
  </si>
  <si>
    <t>%_ uf]nLof sf&amp; u|]l*u+</t>
  </si>
  <si>
    <t>h+unaf^ uf]lnof sf&amp; #f^ub\bL;Dd ("jfgL tkm{</t>
  </si>
  <si>
    <t>s_ 0 ls= dL= b]lv 5 ls=dL= ;Dd</t>
  </si>
  <si>
    <t>v_ 5 ls= dL= b]lv 10 ls=dL= ;Dd</t>
  </si>
  <si>
    <t>u_ 10 ls= dL= b]lv 15 ls=dL= ;Dd</t>
  </si>
  <si>
    <t>#_ 15 ls= dL= b]lv 20 ls=dL= ;Dd</t>
  </si>
  <si>
    <t>ª_ 20 ls= dL= b]lv 25 ls=dL= ;Dd</t>
  </si>
  <si>
    <t>r_ 25 b]lv dfly</t>
  </si>
  <si>
    <t>bfp/f s^fg, d"%fg tkm{</t>
  </si>
  <si>
    <r>
      <t>s_ 20</t>
    </r>
    <r>
      <rPr>
        <sz val="9"/>
        <rFont val="Times New Roman"/>
        <family val="1"/>
      </rPr>
      <t>X</t>
    </r>
    <r>
      <rPr>
        <sz val="9"/>
        <rFont val="FONTASY_ HIMALI_ TT"/>
        <family val="5"/>
      </rPr>
      <t>5</t>
    </r>
    <r>
      <rPr>
        <sz val="9"/>
        <rFont val="Times New Roman"/>
        <family val="1"/>
      </rPr>
      <t>X</t>
    </r>
    <r>
      <rPr>
        <sz val="9"/>
        <rFont val="FONTASY_ HIMALI_ TT"/>
        <family val="5"/>
      </rPr>
      <t>5 lkm^ ;fOhsf] bfp/f s^fg, d"%fg</t>
    </r>
  </si>
  <si>
    <t>k|lt r§f</t>
  </si>
  <si>
    <r>
      <t>u_ 20</t>
    </r>
    <r>
      <rPr>
        <sz val="9"/>
        <rFont val="Times New Roman"/>
        <family val="1"/>
      </rPr>
      <t>X</t>
    </r>
    <r>
      <rPr>
        <sz val="9"/>
        <rFont val="FONTASY_ HIMALI_ TT"/>
        <family val="5"/>
      </rPr>
      <t>5</t>
    </r>
    <r>
      <rPr>
        <sz val="9"/>
        <rFont val="Times New Roman"/>
        <family val="1"/>
      </rPr>
      <t>X</t>
    </r>
    <r>
      <rPr>
        <sz val="9"/>
        <rFont val="FONTASY_ HIMALI_ TT"/>
        <family val="5"/>
      </rPr>
      <t>5 lkm^ ;fOhsf] bfp/f nf]l*é</t>
    </r>
  </si>
  <si>
    <r>
      <t>#_ 20</t>
    </r>
    <r>
      <rPr>
        <sz val="9"/>
        <rFont val="Times New Roman"/>
        <family val="1"/>
      </rPr>
      <t>X</t>
    </r>
    <r>
      <rPr>
        <sz val="9"/>
        <rFont val="FONTASY_ HIMALI_ TT"/>
        <family val="5"/>
      </rPr>
      <t>5</t>
    </r>
    <r>
      <rPr>
        <sz val="9"/>
        <rFont val="Times New Roman"/>
        <family val="1"/>
      </rPr>
      <t>X</t>
    </r>
    <r>
      <rPr>
        <sz val="9"/>
        <rFont val="FONTASY_ HIMALI_ TT"/>
        <family val="5"/>
      </rPr>
      <t>5 lkm^ ;fOhsf] bfp/f cgnf]l*é</t>
    </r>
  </si>
  <si>
    <r>
      <t>ª</t>
    </r>
    <r>
      <rPr>
        <sz val="9"/>
        <rFont val="FONTASY_ HIMALI_ TT"/>
        <family val="5"/>
      </rPr>
      <t>_ 20</t>
    </r>
    <r>
      <rPr>
        <sz val="9"/>
        <rFont val="Times New Roman"/>
        <family val="1"/>
      </rPr>
      <t>X</t>
    </r>
    <r>
      <rPr>
        <sz val="9"/>
        <rFont val="FONTASY_ HIMALI_ TT"/>
        <family val="5"/>
      </rPr>
      <t>5</t>
    </r>
    <r>
      <rPr>
        <sz val="9"/>
        <rFont val="Times New Roman"/>
        <family val="1"/>
      </rPr>
      <t>X</t>
    </r>
    <r>
      <rPr>
        <sz val="9"/>
        <rFont val="FONTASY_ HIMALI_ TT"/>
        <family val="5"/>
      </rPr>
      <t>5 lkm^ ;fOhsf] bfp/f r^\^f lgdf{)f</t>
    </r>
  </si>
  <si>
    <t>bfp/f ("jfgL tkm{</t>
  </si>
  <si>
    <t>ª_ 20 / ;f] eGbf dfly</t>
  </si>
  <si>
    <t>%kfg vr{</t>
  </si>
  <si>
    <t>k|lt ?v</t>
  </si>
  <si>
    <t xml:space="preserve">#f^ub\bLaf^ ldndf uf]lnof l;kd]G^M </t>
  </si>
  <si>
    <t>lr/fg tkm{ M</t>
  </si>
  <si>
    <t>lr/fg pTkfbg, afsn, s^lk;, e"; kmfNg] cflb</t>
  </si>
  <si>
    <t>v=</t>
  </si>
  <si>
    <t>cg;fOh pTkfbg</t>
  </si>
  <si>
    <t>k|lt SjL=</t>
  </si>
  <si>
    <t>u=</t>
  </si>
  <si>
    <t>lr/fg nf]*</t>
  </si>
  <si>
    <t>#=</t>
  </si>
  <si>
    <t>lr/fg cgnf]*</t>
  </si>
  <si>
    <t>ª=</t>
  </si>
  <si>
    <t>afsn cg;fOh nf]*</t>
  </si>
  <si>
    <t>r=</t>
  </si>
  <si>
    <t>afsn cg;fOh cgnf]*</t>
  </si>
  <si>
    <t>%=</t>
  </si>
  <si>
    <t>h=</t>
  </si>
  <si>
    <t>100 dL= eGbf ^f(faf^ ldn%]p;Dd uf]lnof a]fSg] sfo{</t>
  </si>
  <si>
    <t>em=</t>
  </si>
  <si>
    <t>`=</t>
  </si>
  <si>
    <t>^=</t>
  </si>
  <si>
    <t>ldndf uf]lnof ("jfgL-#f^ub\bLaf^_</t>
  </si>
  <si>
    <t>af; -#gf_</t>
  </si>
  <si>
    <t xml:space="preserve">e"O{ s^x/sf] /fOhd </t>
  </si>
  <si>
    <t>clDn;f] /fOhd ;d]t</t>
  </si>
  <si>
    <t xml:space="preserve">sf+; h/f ;d]t </t>
  </si>
  <si>
    <t>af;sf] la?jf sl^é -2 b]lv 3 aif{_</t>
  </si>
  <si>
    <r>
      <rPr>
        <sz val="10"/>
        <rFont val="Arial"/>
        <family val="2"/>
      </rPr>
      <t>NB-21</t>
    </r>
    <r>
      <rPr>
        <sz val="10"/>
        <rFont val="FONTASY_ HIMALI_ TT"/>
        <family val="5"/>
      </rPr>
      <t>,;]^;</t>
    </r>
  </si>
  <si>
    <t>laleGg hftsf #f;</t>
  </si>
  <si>
    <t>cfk cd|kfnL,dNnLsf cflb-2,3 jif{ sndL</t>
  </si>
  <si>
    <t>cfk dfnbx,b;x/L cflb-2,3 jif{ sndL</t>
  </si>
  <si>
    <t>lnrL</t>
  </si>
  <si>
    <t>s^x/</t>
  </si>
  <si>
    <t>cgf/</t>
  </si>
  <si>
    <t>sfutL sndL</t>
  </si>
  <si>
    <t>gf;kftL</t>
  </si>
  <si>
    <t>s]/f</t>
  </si>
  <si>
    <t>kz" ;]jf sfof{no;+u ;DalGwt</t>
  </si>
  <si>
    <t>h} #f;sf] lap</t>
  </si>
  <si>
    <t>k|lt s]=lh=</t>
  </si>
  <si>
    <t>alif{d #f;sf] lap</t>
  </si>
  <si>
    <t>e]r</t>
  </si>
  <si>
    <t>l^of];]G^L  -#f;sf] ljp_</t>
  </si>
  <si>
    <t>:^fO{nf] s's-#f;sf] ljp_</t>
  </si>
  <si>
    <t>*fn] #f;sf] j]gf{</t>
  </si>
  <si>
    <t>;'*fg #fF;sf] ljp</t>
  </si>
  <si>
    <t>afh/f #f;sf] lap</t>
  </si>
  <si>
    <t>g]lko/ ;]^</t>
  </si>
  <si>
    <t>vGo'</t>
  </si>
  <si>
    <t>k|lt af]^</t>
  </si>
  <si>
    <t>OlknOlkn</t>
  </si>
  <si>
    <t>lsDa'</t>
  </si>
  <si>
    <t>af]sf k|hgg\sf] nflu -ljleGg pGgt hftsf]_</t>
  </si>
  <si>
    <t>k|lt uf]^f</t>
  </si>
  <si>
    <t>afv|f k|hgg\ of]Uo -pGgt hftsf]_</t>
  </si>
  <si>
    <t>a+u'/ sf] aRrf -pGgt hftsf] 45 lbg dflysf] :yfgLo hft_</t>
  </si>
  <si>
    <t>a+u'/ sf] aRrf -pGgt hftsf] 45 lbg dflysf] pGgt hft_</t>
  </si>
  <si>
    <t>jg sfof{no;Fu ;DalGwt</t>
  </si>
  <si>
    <t>af]^lj?jfx?</t>
  </si>
  <si>
    <t>a};</t>
  </si>
  <si>
    <t>af+;sf] /fOhd -#gf sf^L h/f ;d]t_</t>
  </si>
  <si>
    <t xml:space="preserve">jg la?jf -g;{/Ldf pdfg]{_ g;{/L gfOs] afx]s </t>
  </si>
  <si>
    <t>jg la?jf -g;{/Ldf pdfg]{_ g;{/L gfOs] lj?jf &amp;'nf] kf]nL Aofudf</t>
  </si>
  <si>
    <r>
      <t>v/ -16 d</t>
    </r>
    <r>
      <rPr>
        <sz val="14"/>
        <rFont val="FONTASY_ HIMALI_ TT"/>
        <family val="5"/>
      </rPr>
      <t>"</t>
    </r>
    <r>
      <rPr>
        <sz val="13"/>
        <rFont val="Preeti"/>
      </rPr>
      <t>Ýf _</t>
    </r>
  </si>
  <si>
    <t>d;nf</t>
  </si>
  <si>
    <t>sbd</t>
  </si>
  <si>
    <t>l^s</t>
  </si>
  <si>
    <t>l;l/;</t>
  </si>
  <si>
    <t>l;;f}</t>
  </si>
  <si>
    <t>asfOgf]</t>
  </si>
  <si>
    <t>hfd'g</t>
  </si>
  <si>
    <t>Sofl;of</t>
  </si>
  <si>
    <r>
      <t>h]^</t>
    </r>
    <r>
      <rPr>
        <sz val="10"/>
        <rFont val="Preeti"/>
      </rPr>
      <t>«</t>
    </r>
    <r>
      <rPr>
        <sz val="10"/>
        <rFont val="FONTASY_ HIMALI_ TT"/>
        <family val="5"/>
      </rPr>
      <t>f]kmf</t>
    </r>
  </si>
  <si>
    <t>a*x/</t>
  </si>
  <si>
    <t>cdnf</t>
  </si>
  <si>
    <t>;k{uGwf</t>
  </si>
  <si>
    <t>O{dnL</t>
  </si>
  <si>
    <t>lgd</t>
  </si>
  <si>
    <t>/QmrGbg</t>
  </si>
  <si>
    <t>Ps]l;of</t>
  </si>
  <si>
    <t>s'l/nf]</t>
  </si>
  <si>
    <t>t]hkft</t>
  </si>
  <si>
    <t>ch"{g</t>
  </si>
  <si>
    <t>vo/</t>
  </si>
  <si>
    <t>af]Qn a|;</t>
  </si>
  <si>
    <t>aa'n</t>
  </si>
  <si>
    <t>rfk</t>
  </si>
  <si>
    <t>czf]sf</t>
  </si>
  <si>
    <t>lzQnlrgL</t>
  </si>
  <si>
    <t>u'ndf]x/</t>
  </si>
  <si>
    <t>lj/]Gb| km'n</t>
  </si>
  <si>
    <t>sfO{of]</t>
  </si>
  <si>
    <t>;tL;fn</t>
  </si>
  <si>
    <t>ljho;fn</t>
  </si>
  <si>
    <t>&gt;Lv)*</t>
  </si>
  <si>
    <t>?b|fIf</t>
  </si>
  <si>
    <t>w'kL</t>
  </si>
  <si>
    <r>
      <t>nx/]lkkn sl^</t>
    </r>
    <r>
      <rPr>
        <sz val="13"/>
        <rFont val="Preeti"/>
      </rPr>
      <t>ª</t>
    </r>
  </si>
  <si>
    <t>sk'/</t>
  </si>
  <si>
    <t>af+; -ljpaf^_</t>
  </si>
  <si>
    <r>
      <t>kf]lnlyg ^\o"j -3</t>
    </r>
    <r>
      <rPr>
        <sz val="10"/>
        <rFont val="Arial"/>
        <family val="2"/>
      </rPr>
      <t>″</t>
    </r>
    <r>
      <rPr>
        <sz val="10"/>
        <rFont val="FONTASY_ HIMALI_ TT"/>
        <family val="5"/>
      </rPr>
      <t>÷7</t>
    </r>
    <r>
      <rPr>
        <sz val="10"/>
        <rFont val="Arial"/>
        <family val="2"/>
      </rPr>
      <t>″</t>
    </r>
    <r>
      <rPr>
        <sz val="10"/>
        <rFont val="FONTASY_ HIMALI_ TT"/>
        <family val="5"/>
      </rPr>
      <t>_ 200 u]h</t>
    </r>
  </si>
  <si>
    <r>
      <t>kf]lnlyg ^\o"j -4</t>
    </r>
    <r>
      <rPr>
        <sz val="10"/>
        <rFont val="Arial"/>
        <family val="2"/>
      </rPr>
      <t>″</t>
    </r>
    <r>
      <rPr>
        <sz val="10"/>
        <rFont val="FONTASY_ HIMALI_ TT"/>
        <family val="5"/>
      </rPr>
      <t>÷7</t>
    </r>
    <r>
      <rPr>
        <sz val="10"/>
        <rFont val="Arial"/>
        <family val="2"/>
      </rPr>
      <t>″</t>
    </r>
    <r>
      <rPr>
        <sz val="10"/>
        <rFont val="FONTASY_ HIMALI_ TT"/>
        <family val="5"/>
      </rPr>
      <t>_ 200 u]h</t>
    </r>
  </si>
  <si>
    <r>
      <t>kf]lnlyg ^\o"j -6</t>
    </r>
    <r>
      <rPr>
        <sz val="10"/>
        <rFont val="Arial"/>
        <family val="2"/>
      </rPr>
      <t>″</t>
    </r>
    <r>
      <rPr>
        <sz val="10"/>
        <rFont val="FONTASY_ HIMALI_ TT"/>
        <family val="5"/>
      </rPr>
      <t>÷9</t>
    </r>
    <r>
      <rPr>
        <sz val="10"/>
        <rFont val="Arial"/>
        <family val="2"/>
      </rPr>
      <t>″</t>
    </r>
    <r>
      <rPr>
        <sz val="10"/>
        <rFont val="FONTASY_ HIMALI_ TT"/>
        <family val="5"/>
      </rPr>
      <t>_ 200 u]h</t>
    </r>
  </si>
  <si>
    <t>jg la?jf -g;{/Ldf pdfg]{_g;{/L gfO{s] afx]s</t>
  </si>
  <si>
    <t>v/ -16 d"&amp;f_</t>
  </si>
  <si>
    <t>aG*n</t>
  </si>
  <si>
    <t>hfd"g</t>
  </si>
  <si>
    <r>
      <t>h]^</t>
    </r>
    <r>
      <rPr>
        <sz val="10"/>
        <rFont val="Preeti"/>
      </rPr>
      <t>«</t>
    </r>
    <r>
      <rPr>
        <sz val="10"/>
        <rFont val="FONTASY_ HIMALI_ TT"/>
        <family val="5"/>
      </rPr>
      <t>fkmf</t>
    </r>
  </si>
  <si>
    <t>Oldln</t>
  </si>
  <si>
    <t>gLd</t>
  </si>
  <si>
    <t>s"l/nf]</t>
  </si>
  <si>
    <t>t]hkQf</t>
  </si>
  <si>
    <t>a]n</t>
  </si>
  <si>
    <t>ch"{gf</t>
  </si>
  <si>
    <t>af]tn a|;</t>
  </si>
  <si>
    <t>aa"/</t>
  </si>
  <si>
    <t>rf+k</t>
  </si>
  <si>
    <t>Hire Rate in NRs.</t>
  </si>
  <si>
    <t>Per Hour</t>
  </si>
  <si>
    <t>Per Shift</t>
  </si>
  <si>
    <t>Asphalt Plant*</t>
  </si>
  <si>
    <t>Universal Spot Mix : Wylie</t>
  </si>
  <si>
    <t>Up to 10 Ton</t>
  </si>
  <si>
    <t>001 -</t>
  </si>
  <si>
    <t>Bram Millar</t>
  </si>
  <si>
    <t>Ashalt Paver</t>
  </si>
  <si>
    <t>Blow Knox BK 165</t>
  </si>
  <si>
    <t>002 -</t>
  </si>
  <si>
    <t>Ashalt Mixer</t>
  </si>
  <si>
    <t>Bel Mix</t>
  </si>
  <si>
    <t>003 -</t>
  </si>
  <si>
    <t>Broom Road</t>
  </si>
  <si>
    <t>Towed</t>
  </si>
  <si>
    <t>009 -</t>
  </si>
  <si>
    <t>Boring Rig</t>
  </si>
  <si>
    <t>TONE</t>
  </si>
  <si>
    <t>011 -</t>
  </si>
  <si>
    <t>Air Compressor</t>
  </si>
  <si>
    <t>Kirloskar , WR 250, SC 0707C,</t>
  </si>
  <si>
    <t>150 To 275cfm</t>
  </si>
  <si>
    <t>017 -</t>
  </si>
  <si>
    <t>Holman, D250CFM, 175 MK 11</t>
  </si>
  <si>
    <t>Maruma ES3</t>
  </si>
  <si>
    <t>Crane Mobile</t>
  </si>
  <si>
    <t>Tadano TS 100L</t>
  </si>
  <si>
    <t>5+ To 10 Ton</t>
  </si>
  <si>
    <t>021 -</t>
  </si>
  <si>
    <t>Tadano TS 150L</t>
  </si>
  <si>
    <t>10+ To 15 Ton</t>
  </si>
  <si>
    <t>Cutter Concrete</t>
  </si>
  <si>
    <t>Weber SM 182R</t>
  </si>
  <si>
    <t>024 -</t>
  </si>
  <si>
    <t>Mikasa MCD 218 DX</t>
  </si>
  <si>
    <t>Dozer Wheel</t>
  </si>
  <si>
    <t>Hanomag D66C, D66D</t>
  </si>
  <si>
    <t>181 To 230 HP</t>
  </si>
  <si>
    <t>030 -</t>
  </si>
  <si>
    <t>CAT 814</t>
  </si>
  <si>
    <t>Dozer Track</t>
  </si>
  <si>
    <t>Komatsu D85ESS</t>
  </si>
  <si>
    <t>031 -</t>
  </si>
  <si>
    <t>CAT D7G</t>
  </si>
  <si>
    <t>Shangdong TY 220</t>
  </si>
  <si>
    <t>Hanomag D700C, D700D</t>
  </si>
  <si>
    <t>Komatsu D85</t>
  </si>
  <si>
    <t>Yishan TY 160</t>
  </si>
  <si>
    <t>126 To 180 HP</t>
  </si>
  <si>
    <t>BEML D65E8</t>
  </si>
  <si>
    <t>CAT D6H</t>
  </si>
  <si>
    <t>Komatsu D53A-17; D50A</t>
  </si>
  <si>
    <t>80 To 125 HP</t>
  </si>
  <si>
    <t>Komatsu D 50A - 17</t>
  </si>
  <si>
    <t>CAT D3B</t>
  </si>
  <si>
    <t>0 To 79 HP</t>
  </si>
  <si>
    <t>Bitumin Distributor</t>
  </si>
  <si>
    <t>Bedford TJ 1090</t>
  </si>
  <si>
    <t>4 To 6 KL</t>
  </si>
  <si>
    <t>032 -</t>
  </si>
  <si>
    <t>ETNYRE/4700; ETNTYRE/M4148</t>
  </si>
  <si>
    <t>Isuzu/Hanta; Hanta/Hino FF173 K</t>
  </si>
  <si>
    <t>Rock Drill(Pneum)</t>
  </si>
  <si>
    <t>034 -</t>
  </si>
  <si>
    <t>Mini Dumper</t>
  </si>
  <si>
    <t>Pengyuan FC 15</t>
  </si>
  <si>
    <t> 1 To 4 Cu. M.</t>
  </si>
  <si>
    <t>035 -</t>
  </si>
  <si>
    <t>Changai FC 1</t>
  </si>
  <si>
    <t>1 To 4 Cu. M.</t>
  </si>
  <si>
    <t>Jiangsu F 15</t>
  </si>
  <si>
    <t>Stott &amp; Pitt SD 011</t>
  </si>
  <si>
    <t>Thawaties</t>
  </si>
  <si>
    <t>Excavator Track</t>
  </si>
  <si>
    <t>Daewoo Solar 130LC - V</t>
  </si>
  <si>
    <t>1 To 110 HP</t>
  </si>
  <si>
    <t>042 -</t>
  </si>
  <si>
    <t>Kobelco SK 115 SR-1E</t>
  </si>
  <si>
    <t>Daewoo SL 220</t>
  </si>
  <si>
    <t>111 To 150 HP</t>
  </si>
  <si>
    <t>Komatsu PC 150-5A</t>
  </si>
  <si>
    <t>Hitachi EX 200 - 3</t>
  </si>
  <si>
    <t>JCB - 820 Super; JCB - 820</t>
  </si>
  <si>
    <t>Excavator+ Breaker</t>
  </si>
  <si>
    <t>Daewoo SL220 With SOOSAN 20</t>
  </si>
  <si>
    <t>Forklift Truck</t>
  </si>
  <si>
    <t>Mitsubishi</t>
  </si>
  <si>
    <t>&lt; 2.5 Ton</t>
  </si>
  <si>
    <t>049 -</t>
  </si>
  <si>
    <t>Generator*</t>
  </si>
  <si>
    <t>Kubota ASK-R 350</t>
  </si>
  <si>
    <t>Up to 10 KVA</t>
  </si>
  <si>
    <t>054 -</t>
  </si>
  <si>
    <t>Denyo DBF-3Y; DBF 7.5Y</t>
  </si>
  <si>
    <t>Robin</t>
  </si>
  <si>
    <t>Caterpillar</t>
  </si>
  <si>
    <t>Kirloskar RB 33</t>
  </si>
  <si>
    <t>Osaka/Seimeitsu SAS - 130Y</t>
  </si>
  <si>
    <t>10 To 30 KVA</t>
  </si>
  <si>
    <t>Kirloskar</t>
  </si>
  <si>
    <t>30+ To 50 KVA</t>
  </si>
  <si>
    <t>Grader Motor</t>
  </si>
  <si>
    <t>Komatsu GD 511R - 1</t>
  </si>
  <si>
    <t>135 HP</t>
  </si>
  <si>
    <t>055 -</t>
  </si>
  <si>
    <t>Chapion 710 ; 710R</t>
  </si>
  <si>
    <t>CAT 120G</t>
  </si>
  <si>
    <t>125 HP</t>
  </si>
  <si>
    <t>Mitubishi MG 350R</t>
  </si>
  <si>
    <t>BEML BG605 - 6216</t>
  </si>
  <si>
    <t>145 HP</t>
  </si>
  <si>
    <t>Aveling Barford ASG 12G; TG 011</t>
  </si>
  <si>
    <t>Niigata N530 PSA</t>
  </si>
  <si>
    <t>Komatsu 405A - 1</t>
  </si>
  <si>
    <t>90 HP</t>
  </si>
  <si>
    <t>Chips Spreader</t>
  </si>
  <si>
    <t>Phoenix/Tail Gate Mounted</t>
  </si>
  <si>
    <t>057 -</t>
  </si>
  <si>
    <t>Bitumin Heater</t>
  </si>
  <si>
    <t>Span Eng.</t>
  </si>
  <si>
    <t>Up to 2 KL</t>
  </si>
  <si>
    <t>062 -</t>
  </si>
  <si>
    <t>Loader Wheel</t>
  </si>
  <si>
    <t>JCB 425</t>
  </si>
  <si>
    <t>1.75 Cu M</t>
  </si>
  <si>
    <t>068 -</t>
  </si>
  <si>
    <t>Aveling Barford</t>
  </si>
  <si>
    <t>EJCB - 430</t>
  </si>
  <si>
    <t>1.7 Cu M</t>
  </si>
  <si>
    <t>Komatsu WA 100 - 1</t>
  </si>
  <si>
    <t>1.2 Cu M</t>
  </si>
  <si>
    <t>Komatsu WA 180 - 3</t>
  </si>
  <si>
    <t> 1.8 Cu M</t>
  </si>
  <si>
    <t>Furukawa FL 200; FL 230 - I</t>
  </si>
  <si>
    <t>1.9 - 2.3 Cu M</t>
  </si>
  <si>
    <t>Furukawa FL 200 - I</t>
  </si>
  <si>
    <t>Kawasaki KSS 70; KLD 70</t>
  </si>
  <si>
    <t>1.9 - 2.2 Cu M</t>
  </si>
  <si>
    <t>CAT 950</t>
  </si>
  <si>
    <t>&gt; 1.8 Cu M</t>
  </si>
  <si>
    <t>Michigan Clark 75 - IIIA</t>
  </si>
  <si>
    <t>Hyuandai HL 757 - 7</t>
  </si>
  <si>
    <t>2.5 Cu M</t>
  </si>
  <si>
    <t>Kawasaki 70ZIV - 2</t>
  </si>
  <si>
    <t>2.2 Cu M</t>
  </si>
  <si>
    <t>Kawasaki 70ZIV; WL03 - 70Z</t>
  </si>
  <si>
    <t>Kawasaki 70Z - IV Hino</t>
  </si>
  <si>
    <t>Back Hoe Loader</t>
  </si>
  <si>
    <t>JCB 3CX - 4</t>
  </si>
  <si>
    <t>&lt; 90 HP</t>
  </si>
  <si>
    <t>070 -</t>
  </si>
  <si>
    <t>Water Pump (Engine)</t>
  </si>
  <si>
    <t>Sykes Univac</t>
  </si>
  <si>
    <t>Up To 4"</t>
  </si>
  <si>
    <t>085 -</t>
  </si>
  <si>
    <t>Yanmar/ YKS - 3DW</t>
  </si>
  <si>
    <t>4 To 6 "</t>
  </si>
  <si>
    <t>Yanmar/ YKS - 6DFA</t>
  </si>
  <si>
    <t>4 To 6"</t>
  </si>
  <si>
    <t>Water Pump (Elect.)</t>
  </si>
  <si>
    <t>5 HP</t>
  </si>
  <si>
    <t>7.5 HP</t>
  </si>
  <si>
    <t>Pile Driver*</t>
  </si>
  <si>
    <t>10 Ton</t>
  </si>
  <si>
    <t>086 -</t>
  </si>
  <si>
    <t>Roller 3 Wheel</t>
  </si>
  <si>
    <t>Aveling Barford DC 011</t>
  </si>
  <si>
    <t>Up to 12 Ton</t>
  </si>
  <si>
    <t>094 -</t>
  </si>
  <si>
    <t>Johs Moller Rambo</t>
  </si>
  <si>
    <t>Speedcraft DRR 10 - S</t>
  </si>
  <si>
    <t>Luoyang 3Y8 / 10</t>
  </si>
  <si>
    <t>Aveling Barford DC 012</t>
  </si>
  <si>
    <t>Albaret TR - 10</t>
  </si>
  <si>
    <t>Kawasaki KMRH - 12</t>
  </si>
  <si>
    <t>Sakai 7608</t>
  </si>
  <si>
    <t>Roller Pneumatic</t>
  </si>
  <si>
    <t>Dynapac CP 15</t>
  </si>
  <si>
    <t>Up to 20 Ton</t>
  </si>
  <si>
    <t>096 -</t>
  </si>
  <si>
    <t>Hamm GRW - 10</t>
  </si>
  <si>
    <t>Stavostroj VP 200</t>
  </si>
  <si>
    <t>Dynapac CP 20</t>
  </si>
  <si>
    <t>Sakai TS7409</t>
  </si>
  <si>
    <t>Roller Vib. Pedestrain</t>
  </si>
  <si>
    <t>Bomag BW 71E - 2</t>
  </si>
  <si>
    <t>Up to 0.5 Ton</t>
  </si>
  <si>
    <t>098 -</t>
  </si>
  <si>
    <t>Bomag BW 71E</t>
  </si>
  <si>
    <t>Benford 1 - 71L / 2 - 75B</t>
  </si>
  <si>
    <t>Holman / Com CS 71</t>
  </si>
  <si>
    <t>Mortimor CPM/71</t>
  </si>
  <si>
    <t>Bomag BW 55E</t>
  </si>
  <si>
    <t>Benford 1 - 71EEP/ 1 - 71 B</t>
  </si>
  <si>
    <t>Benford</t>
  </si>
  <si>
    <t>Benford 1 - 71BPL</t>
  </si>
  <si>
    <t>Roller Vib. Sheepfoot</t>
  </si>
  <si>
    <t>Tampo</t>
  </si>
  <si>
    <t>099 -</t>
  </si>
  <si>
    <t>Roller Vib. Self Prop.</t>
  </si>
  <si>
    <t>Johs Moller VT 13 / VT 21</t>
  </si>
  <si>
    <t>Up to 3 Ton</t>
  </si>
  <si>
    <t>101 -</t>
  </si>
  <si>
    <t>Sakai SG 500</t>
  </si>
  <si>
    <t>3 + Upto 6 Ton</t>
  </si>
  <si>
    <t>Larsen &amp; Turbo W1104</t>
  </si>
  <si>
    <t>Bomag BG 605</t>
  </si>
  <si>
    <t>Bomag BW 172D - 2</t>
  </si>
  <si>
    <t>6.3 Ton</t>
  </si>
  <si>
    <t>Bomag</t>
  </si>
  <si>
    <t>Kawasaki KVR 7</t>
  </si>
  <si>
    <t>6 Ton</t>
  </si>
  <si>
    <t>Spreader Chip S/P</t>
  </si>
  <si>
    <t>Phoenix MK 4</t>
  </si>
  <si>
    <t>109 -</t>
  </si>
  <si>
    <t>Spayer Emulsion</t>
  </si>
  <si>
    <t>Hotta ESC - 10 E</t>
  </si>
  <si>
    <t>Up to 1 KL</t>
  </si>
  <si>
    <t>112 -</t>
  </si>
  <si>
    <t>Truck Flatbed/Crane</t>
  </si>
  <si>
    <t>Dong Feng/AEDLUS</t>
  </si>
  <si>
    <t>Up to 7 Ton</t>
  </si>
  <si>
    <t>114 -</t>
  </si>
  <si>
    <t>Tata SE 1210/42</t>
  </si>
  <si>
    <t>Tata Usha 1210B/42</t>
  </si>
  <si>
    <t>Isuzu HTR</t>
  </si>
  <si>
    <t>Truck Flatbed</t>
  </si>
  <si>
    <t>Ashok Leyland CS 42</t>
  </si>
  <si>
    <t>Up to 150 HP</t>
  </si>
  <si>
    <t>115 -</t>
  </si>
  <si>
    <t>Hino FF 173KA</t>
  </si>
  <si>
    <t>Isuzu HTR 114-03</t>
  </si>
  <si>
    <t>Isuzu TXD 50</t>
  </si>
  <si>
    <t>Truck Tipper</t>
  </si>
  <si>
    <t>Tata SK 1210/36</t>
  </si>
  <si>
    <t>116 -</t>
  </si>
  <si>
    <t>A/Leyland Commet 3/15;</t>
  </si>
  <si>
    <t>Tata SE 1210 /36</t>
  </si>
  <si>
    <t>A/ Leyland Commet 3/21</t>
  </si>
  <si>
    <t>A/ Leyland Commet</t>
  </si>
  <si>
    <t>A/Leyland Commet</t>
  </si>
  <si>
    <t>Isuzu HTR 113-03</t>
  </si>
  <si>
    <t>Hino KR 120 E</t>
  </si>
  <si>
    <t>Isuzu SBR 322; TXD 40</t>
  </si>
  <si>
    <t>Nissan CPC 14E</t>
  </si>
  <si>
    <t>From 150+ HP</t>
  </si>
  <si>
    <t>Isuzu TDJ</t>
  </si>
  <si>
    <t>Nissan CKB 450EDN</t>
  </si>
  <si>
    <t>Mini Truck</t>
  </si>
  <si>
    <t>Mah &amp; Mah Cab 576</t>
  </si>
  <si>
    <t>117 -</t>
  </si>
  <si>
    <t>Tata 407</t>
  </si>
  <si>
    <t>Mah. Nis. Allw. Cab 576</t>
  </si>
  <si>
    <t>Mits. Can. Eich./ FE444</t>
  </si>
  <si>
    <t>Mitsu. Eicher EE 44EXR</t>
  </si>
  <si>
    <t>Trailer Tractor</t>
  </si>
  <si>
    <t>Isuzu CXZ81Q</t>
  </si>
  <si>
    <t>10 + to 25 Ton</t>
  </si>
  <si>
    <t>118 -</t>
  </si>
  <si>
    <t>Foden 5106T</t>
  </si>
  <si>
    <t>Hino HE 335</t>
  </si>
  <si>
    <t>Mitsubishi FV 515 HRR</t>
  </si>
  <si>
    <t>Nissan CW - 50 GTN</t>
  </si>
  <si>
    <t>From 25 +Ton</t>
  </si>
  <si>
    <t>Water Tanker</t>
  </si>
  <si>
    <t>AL/ Commet; ALCO- 3/15</t>
  </si>
  <si>
    <t>Up to 8 KL</t>
  </si>
  <si>
    <t>119 -</t>
  </si>
  <si>
    <t>Tata/SE 1210/48</t>
  </si>
  <si>
    <t>A/ Leyland Commet CS 42</t>
  </si>
  <si>
    <t>Hino</t>
  </si>
  <si>
    <t>Isuzu SBR 312; TXD 50</t>
  </si>
  <si>
    <t>Trailer</t>
  </si>
  <si>
    <t>MAECO / Nepal</t>
  </si>
  <si>
    <t>122 -</t>
  </si>
  <si>
    <t>Tractor</t>
  </si>
  <si>
    <t>HMT 4511</t>
  </si>
  <si>
    <t>Up to 85 HP</t>
  </si>
  <si>
    <t>123 -</t>
  </si>
  <si>
    <t>International Sona. DI 745 III</t>
  </si>
  <si>
    <t>Tractor &amp; Farm MF 245 DI-J</t>
  </si>
  <si>
    <t>Hindustan G 453 - DI</t>
  </si>
  <si>
    <t>Escort E 355 N</t>
  </si>
  <si>
    <t>Mahendra 545</t>
  </si>
  <si>
    <t>Ford 3610</t>
  </si>
  <si>
    <t>Kubota</t>
  </si>
  <si>
    <t>Ford New Holland</t>
  </si>
  <si>
    <t>Tractor with trailer</t>
  </si>
  <si>
    <t>Ford 6610</t>
  </si>
  <si>
    <t>Massey Ferguson MF 20B</t>
  </si>
  <si>
    <t>Vibrator Engine</t>
  </si>
  <si>
    <t>Mikasa; Mikasa MV1-GE</t>
  </si>
  <si>
    <t>136 -</t>
  </si>
  <si>
    <t>Vibrator Needle</t>
  </si>
  <si>
    <t>BP 25; BP 35</t>
  </si>
  <si>
    <t>V 635; V 654</t>
  </si>
  <si>
    <t>Compactor H/Towed</t>
  </si>
  <si>
    <t>Jaypee</t>
  </si>
  <si>
    <t>Up to 450 KG</t>
  </si>
  <si>
    <t>138 -</t>
  </si>
  <si>
    <t>MIKASA MVC -110D</t>
  </si>
  <si>
    <t>Welding Arc</t>
  </si>
  <si>
    <t>30 + KVA</t>
  </si>
  <si>
    <t>143 -</t>
  </si>
  <si>
    <t>*EXCLUDING COST OF ERECTION/ COMISSIONING/ DISMANTLING AND MECHANICAL CREW.</t>
  </si>
  <si>
    <t>3.00 Ft long</t>
  </si>
  <si>
    <t>a]Nrf</t>
  </si>
  <si>
    <t>4.00 Ft long</t>
  </si>
  <si>
    <t>u}tL</t>
  </si>
  <si>
    <t>5.00 Ft long</t>
  </si>
  <si>
    <t>un -;jf OGr df]6f]_</t>
  </si>
  <si>
    <t>6.00 Ft long</t>
  </si>
  <si>
    <t>3g % s]hLsf]</t>
  </si>
  <si>
    <t>7.00 Ft long</t>
  </si>
  <si>
    <t>3g # s]hLsf]</t>
  </si>
  <si>
    <t>8.00 Ft long</t>
  </si>
  <si>
    <t>3g ! s]hLsf]</t>
  </si>
  <si>
    <t>9.00 Ft long</t>
  </si>
  <si>
    <t>l5gf] nfdf] -@ km'6 nfdf] ! O{Gr df]6f]_</t>
  </si>
  <si>
    <t>10.00 Ft long</t>
  </si>
  <si>
    <t>9'Ëf km'6fNg] l5gf]</t>
  </si>
  <si>
    <t>12.00 Ft long</t>
  </si>
  <si>
    <t>9'Ëf tf:g]] l5gf]</t>
  </si>
  <si>
    <t>B</t>
  </si>
  <si>
    <t xml:space="preserve"> Corrurated Sheet width of 32"(0.6 mmthick)</t>
  </si>
  <si>
    <t>a6fd</t>
  </si>
  <si>
    <t>C</t>
  </si>
  <si>
    <t xml:space="preserve">  PLain Sheet</t>
  </si>
  <si>
    <t>ld:qL wfuf]</t>
  </si>
  <si>
    <t>1.2mm thick</t>
  </si>
  <si>
    <t>2.00mm thick</t>
  </si>
  <si>
    <t>rZdf</t>
  </si>
  <si>
    <t>3.00mm thick</t>
  </si>
  <si>
    <t>kGhf</t>
  </si>
  <si>
    <t>4.00mm thick</t>
  </si>
  <si>
    <t>;]km\6L a]N6</t>
  </si>
  <si>
    <t>5.00mm thick</t>
  </si>
  <si>
    <t xml:space="preserve"> Corrurated Advestor Sheet </t>
  </si>
  <si>
    <t>0.8mm thick</t>
  </si>
  <si>
    <t>1.20mm thick</t>
  </si>
  <si>
    <t>sfdsf] ljj/)f</t>
  </si>
  <si>
    <t xml:space="preserve">*f]h/÷PS;fe]^/ k|of]u u/L df^f] vGg] sfd - df]ljnfO{h];g, l*df]]jLnfOPh];g, OGwg / ck|]^/ vr{ ;d]t_ </t>
  </si>
  <si>
    <t>;fwf/)f df^f]</t>
  </si>
  <si>
    <t>#dL</t>
  </si>
  <si>
    <t>u|fe]n÷jf]N*/ ldl;Psf] df^f]</t>
  </si>
  <si>
    <t>g/d k|sf/sf] r§fg</t>
  </si>
  <si>
    <t>dWod k|sf/sf] r§fg</t>
  </si>
  <si>
    <t>s*f k|sf/sf] r§fg</t>
  </si>
  <si>
    <t>k}x|f] x^fpg÷;kmf ug]{ sfd</t>
  </si>
  <si>
    <t>qm;</t>
  </si>
  <si>
    <t>;fdfu|Lsf] gfd</t>
  </si>
  <si>
    <t>Ifdtf</t>
  </si>
  <si>
    <t>O{sfO</t>
  </si>
  <si>
    <t>A</t>
  </si>
  <si>
    <t>10wp/12</t>
  </si>
  <si>
    <t>Solar Modulars</t>
  </si>
  <si>
    <t>20wp/13</t>
  </si>
  <si>
    <t>40wp/14</t>
  </si>
  <si>
    <t>50wp/15</t>
  </si>
  <si>
    <t>75wp/16</t>
  </si>
  <si>
    <t>100wp/17</t>
  </si>
  <si>
    <t>150wp/18</t>
  </si>
  <si>
    <t>210wp/19</t>
  </si>
  <si>
    <t>Battery Exide or equivelant</t>
  </si>
  <si>
    <t>12v/ 20 AH SOLAR TUB BATTERY</t>
  </si>
  <si>
    <t>12V20AH@C10</t>
  </si>
  <si>
    <t>12V40AH@C11</t>
  </si>
  <si>
    <t>12V40AH@C12</t>
  </si>
  <si>
    <t>12V60AH@C13</t>
  </si>
  <si>
    <t>12V75AH@C14</t>
  </si>
  <si>
    <t>12V100AH@C15</t>
  </si>
  <si>
    <t>12V150AH@C16</t>
  </si>
  <si>
    <t>12V200AH@C17</t>
  </si>
  <si>
    <t>Charge Controler Luminus or equivelant</t>
  </si>
  <si>
    <t>6AMP/12V  CONTROLER</t>
  </si>
  <si>
    <t>6A /12V</t>
  </si>
  <si>
    <t>6AMP/12V AUTO CONTROLER</t>
  </si>
  <si>
    <t>10A /12V-24V</t>
  </si>
  <si>
    <t>20A /12V-24</t>
  </si>
  <si>
    <t xml:space="preserve">  cf=a=
2074÷75</t>
  </si>
  <si>
    <t>cf=a=2074÷75</t>
  </si>
  <si>
    <t xml:space="preserve"> cf=a=          2074÷75</t>
  </si>
  <si>
    <t>Rate 074/75</t>
  </si>
  <si>
    <r>
      <t>2.5 kg/cm</t>
    </r>
    <r>
      <rPr>
        <vertAlign val="superscript"/>
        <sz val="14"/>
        <rFont val="Times New Roman"/>
        <family val="1"/>
      </rPr>
      <t>2</t>
    </r>
  </si>
  <si>
    <r>
      <t>4 kg/cm</t>
    </r>
    <r>
      <rPr>
        <vertAlign val="superscript"/>
        <sz val="14"/>
        <rFont val="Times New Roman"/>
        <family val="1"/>
      </rPr>
      <t>2</t>
    </r>
  </si>
  <si>
    <r>
      <t>6 kg/cm</t>
    </r>
    <r>
      <rPr>
        <vertAlign val="superscript"/>
        <sz val="14"/>
        <rFont val="Times New Roman"/>
        <family val="1"/>
      </rPr>
      <t>2</t>
    </r>
  </si>
  <si>
    <r>
      <t>10 kg/cm</t>
    </r>
    <r>
      <rPr>
        <vertAlign val="superscript"/>
        <sz val="14"/>
        <rFont val="Times New Roman"/>
        <family val="1"/>
      </rPr>
      <t>2</t>
    </r>
  </si>
  <si>
    <t xml:space="preserve"> cf=a= 2074÷75</t>
  </si>
  <si>
    <t>20 b]lv 40 dL= dL=</t>
  </si>
  <si>
    <t>12 b]lv 20 dL= dL=</t>
  </si>
  <si>
    <t>10 b]lv 12 dL= dL=</t>
  </si>
  <si>
    <t>10 dL= dL= eGbf d"lg -lh/f_</t>
  </si>
  <si>
    <t>&amp;=</t>
  </si>
  <si>
    <t>lr/fg sf&amp; ('jfgL</t>
  </si>
  <si>
    <t>u_ 10 ls= dL= eGbf dfly</t>
  </si>
  <si>
    <r>
      <rPr>
        <sz val="10"/>
        <rFont val="Fontasy Himali"/>
        <family val="5"/>
      </rPr>
      <t>5</t>
    </r>
    <r>
      <rPr>
        <sz val="13"/>
        <rFont val="Preeti"/>
      </rPr>
      <t xml:space="preserve"> dL=dL= lhK;d af]8{{ -jf6/ k"|km_</t>
    </r>
  </si>
  <si>
    <r>
      <rPr>
        <sz val="10"/>
        <rFont val="Fontasy Himali"/>
        <family val="5"/>
      </rPr>
      <t>10</t>
    </r>
    <r>
      <rPr>
        <sz val="13"/>
        <rFont val="Preeti"/>
      </rPr>
      <t xml:space="preserve"> dL=dL= lhK;d af]8{{ -jf6/ k"|km gePsf]_</t>
    </r>
  </si>
  <si>
    <t>lhK;d af]*{</t>
  </si>
  <si>
    <t>!</t>
  </si>
  <si>
    <t>Rate 075/76</t>
  </si>
  <si>
    <t xml:space="preserve"> Corrugated Sheet width of 32"(1.2 mmthick)</t>
  </si>
  <si>
    <t>cf=j= )&amp;$÷&amp;%</t>
  </si>
  <si>
    <t>cf=j= )&amp;%÷&amp;^</t>
  </si>
  <si>
    <t xml:space="preserve">Sack Gabions/Cylindrical Gabions </t>
  </si>
  <si>
    <t xml:space="preserve"> 1.5m*0.74m (0.74m dia)</t>
  </si>
  <si>
    <t>Anstrip'</t>
  </si>
  <si>
    <t>63*2"</t>
  </si>
  <si>
    <t>Female Elbow:</t>
  </si>
  <si>
    <t>Bridge inspection Equipment</t>
  </si>
  <si>
    <t>Brain Italy AB 9s with Truck</t>
  </si>
  <si>
    <t>cf=a= 2074÷75</t>
  </si>
  <si>
    <t xml:space="preserve">  cf=a=
2075÷76</t>
  </si>
  <si>
    <t xml:space="preserve">  cf=a=
2076÷77 sf] :jLs[t b/ /]^</t>
  </si>
  <si>
    <t xml:space="preserve">  cf=a= 2076÷77 sf] :jLs[t b/ /]^</t>
  </si>
  <si>
    <t>cf=a= 2075÷76</t>
  </si>
  <si>
    <t>cf=a=2075÷76</t>
  </si>
  <si>
    <t xml:space="preserve"> cf=a=          2075÷76</t>
  </si>
  <si>
    <t xml:space="preserve"> cf=a=074÷75</t>
  </si>
  <si>
    <t xml:space="preserve"> cf=a=2075÷76</t>
  </si>
  <si>
    <t>Rate 076/77</t>
  </si>
  <si>
    <t xml:space="preserve"> cf=a= 2075÷76</t>
  </si>
  <si>
    <t>cf=j= )&amp;^÷&amp;&amp;</t>
  </si>
  <si>
    <t xml:space="preserve">s}lkmot </t>
  </si>
  <si>
    <t xml:space="preserve">  cf=a=
2077÷78 sf] :jLs[t b/ /]^</t>
  </si>
  <si>
    <t xml:space="preserve">  cf=a= 2077÷78 sf] :jLs[t b/ /]^</t>
  </si>
  <si>
    <t>Rate 077/78</t>
  </si>
  <si>
    <t>cf=j= )&amp;&amp;÷&amp;*</t>
  </si>
  <si>
    <t xml:space="preserve">  cf=a=
2078÷79 sf] :jLs[t b/ /]^</t>
  </si>
  <si>
    <t xml:space="preserve">  cf=a= 2078÷79 sf] :jLs[t b/ /]^</t>
  </si>
  <si>
    <t>cf=j= )&amp;*÷&amp;(</t>
  </si>
  <si>
    <t xml:space="preserve">MRP Per Pcs (Ex VAT) </t>
  </si>
  <si>
    <t>MRP Per Cubic Meter (Ex VAT)</t>
  </si>
  <si>
    <t xml:space="preserve"> MRP Per Pcs (Ex VAT) </t>
  </si>
  <si>
    <t xml:space="preserve"> MRP Per SQM (Ex VAT)</t>
  </si>
  <si>
    <t xml:space="preserve">V Shape Drain Male &amp; Female set with compressive strength M35. Thickness: 70mm, Dimension: 300x75x499.5 (LxBxH) </t>
  </si>
  <si>
    <t xml:space="preserve">डुंगा बाट समान ढुवानी गर्ने कार्य </t>
  </si>
  <si>
    <t xml:space="preserve">ग्याबिन जाली </t>
  </si>
  <si>
    <t xml:space="preserve">प्रति गोटा </t>
  </si>
  <si>
    <t xml:space="preserve">ढुंगा </t>
  </si>
  <si>
    <t xml:space="preserve">अन्य सामाग्री </t>
  </si>
  <si>
    <t xml:space="preserve">प्रति किलो </t>
  </si>
  <si>
    <t>M-60 Grade</t>
  </si>
  <si>
    <t>M-55 Grade</t>
  </si>
  <si>
    <t>M-50 Grade</t>
  </si>
  <si>
    <t>M-45 Grade</t>
  </si>
  <si>
    <t>M-40 Grade</t>
  </si>
  <si>
    <t>M-35 Grade</t>
  </si>
  <si>
    <t>M-30 Grade</t>
  </si>
  <si>
    <t>M-25 Grade</t>
  </si>
  <si>
    <t>M-20 Grade</t>
  </si>
  <si>
    <t>M-15 Grade</t>
  </si>
  <si>
    <t>M-10 Grade</t>
  </si>
  <si>
    <t xml:space="preserve"> sfof{no;+u ;DalGwt af]^ la?jf / cGo ;dfu|LM           </t>
  </si>
  <si>
    <t>UPVC fixed ventilation frame (60x58mm), inside 1.2mm galvanized steel used for reinforcement, 5 mm clear glass (white colour) including the cost of material, labour, fixing &amp; fitting all Complete.</t>
  </si>
  <si>
    <t>UPVC Sliding window frame (88x52mm) sliding window sash (57x42mm) with net frame size( 25mmx50mm) all complete inside 1.2mm. Galvanized steel for reinforcement, 5 mm clear glass(white colour) including the cost of material, labour, fixing &amp; fitting all Complete.</t>
  </si>
  <si>
    <t>UPVC Door frame (60x58mm) door sash (104x60mm)pannel, inside 1.2mm galvanized steel used for reinforcement, 5 mm clear glass (white corour) including the cost of material, labour, fixing &amp; fitting all Complete.</t>
  </si>
  <si>
    <t>UPVC Door frame (60x58mm), sash (104x60mm)(special, door pannel 18*200mm, inside 1.2 mm galvanized steel for reinforcement, 5 mm clear glass (white colour) including the cost of material, labour, fixing &amp; fitting all Complete.</t>
  </si>
  <si>
    <t>Rate 078/79</t>
  </si>
  <si>
    <t xml:space="preserve">  cf=a=
2079÷80 sf] :jLs[t b/ /]^</t>
  </si>
  <si>
    <t xml:space="preserve">  cf=a=
2079÷80sf] :jLs[t b/ /]^</t>
  </si>
  <si>
    <t>cf=j= )&amp;(÷*)</t>
  </si>
  <si>
    <t>k|lt s]=hL= ?= @*^.–</t>
  </si>
  <si>
    <t>sdf]* kmnl;ª l;:^g{ ;lxt 4 nfOg ePsf]</t>
  </si>
  <si>
    <t>क्र.स</t>
  </si>
  <si>
    <t>इकाई</t>
  </si>
  <si>
    <t>Steel Gates</t>
  </si>
  <si>
    <t>प्रति के.जी</t>
  </si>
  <si>
    <t>ISMC 100</t>
  </si>
  <si>
    <t>ISMC 125</t>
  </si>
  <si>
    <t>ISMC 150</t>
  </si>
  <si>
    <t>ISA 7575</t>
  </si>
  <si>
    <t>ISA 5050</t>
  </si>
  <si>
    <t>Spindle for gates</t>
  </si>
  <si>
    <t xml:space="preserve"> Bright round bars for gate size greater than 1mx1m with threading of spindle bars</t>
  </si>
  <si>
    <t>प्रति फिट</t>
  </si>
  <si>
    <t>Gear box for (including nut, bolt, bearing, grease housing, body, etc. all complete)</t>
  </si>
  <si>
    <t>गेट गियर सेट ५-१० टन क्षमता भएको</t>
  </si>
  <si>
    <t xml:space="preserve">प्रति सेट </t>
  </si>
  <si>
    <t>गेट गियर सेट १०-१५ टन क्षमता भएको</t>
  </si>
  <si>
    <t>गेट गियर सेट १५-२० टन क्षमता भएको</t>
  </si>
  <si>
    <t>गेट गियर सेट २०-२५ टन क्षमता भएको</t>
  </si>
  <si>
    <t xml:space="preserve">Thrust Bearing </t>
  </si>
  <si>
    <t xml:space="preserve"> Middle Type Cast Iron Gear Nut</t>
  </si>
  <si>
    <t>प्रति गोटा</t>
  </si>
  <si>
    <t xml:space="preserve"> Slide Roller</t>
  </si>
  <si>
    <t>Middle Type Cast Iron Gear</t>
  </si>
  <si>
    <t xml:space="preserve"> PVC Water stopper (water bar) for canal lining</t>
  </si>
  <si>
    <t xml:space="preserve">230 mm wide with 25mm dia centre bulb </t>
  </si>
  <si>
    <t>प्रति र.मि</t>
  </si>
  <si>
    <t xml:space="preserve">150 mm wide with 25mm dia centre bulb </t>
  </si>
  <si>
    <t>For canal</t>
  </si>
  <si>
    <t>९.१.१</t>
  </si>
  <si>
    <t>६''</t>
  </si>
  <si>
    <t>९.१.२</t>
  </si>
  <si>
    <t>९''</t>
  </si>
  <si>
    <t>९.२.१</t>
  </si>
  <si>
    <t>४''-५''</t>
  </si>
  <si>
    <t>९.२.२</t>
  </si>
  <si>
    <t>६''-८''</t>
  </si>
  <si>
    <t>९.२.३</t>
  </si>
  <si>
    <t>Type - flat</t>
  </si>
  <si>
    <t>९.२.४</t>
  </si>
  <si>
    <t xml:space="preserve">Type - P (bulb at one end) </t>
  </si>
  <si>
    <t>९.२.५</t>
  </si>
  <si>
    <t>Type - Double stem (single bulb at center)</t>
  </si>
  <si>
    <t>९.२.६</t>
  </si>
  <si>
    <t xml:space="preserve">Type - Double bulb (bulb at both ends) </t>
  </si>
  <si>
    <t>९.२.७</t>
  </si>
  <si>
    <t xml:space="preserve">Type - L or Z </t>
  </si>
  <si>
    <t>९.२.८</t>
  </si>
  <si>
    <t>Type - corner</t>
  </si>
  <si>
    <t>Cone shaped bearing, bearing plate and nut</t>
  </si>
  <si>
    <t xml:space="preserve"> For cross regulator gate </t>
  </si>
  <si>
    <t xml:space="preserve">For Tertiary Gate </t>
  </si>
  <si>
    <t>Supply and Fixing of cone bearing</t>
  </si>
  <si>
    <t xml:space="preserve"> No: 30208</t>
  </si>
  <si>
    <t xml:space="preserve">No: 30310 </t>
  </si>
  <si>
    <t xml:space="preserve"> Supply and Fixing of High Tensile nut bolt</t>
  </si>
  <si>
    <t xml:space="preserve"> Rope 20-25mm (Tochan)</t>
  </si>
  <si>
    <t>सामाग्रीको नाम</t>
  </si>
  <si>
    <t>Brick Joining Mortar for Clay , Red, Concrete block/bricks.40 sq. ft. per 40kg bag (considering joint thickness of 3-5mm)</t>
  </si>
  <si>
    <t>AAC Block Joining Mortar(Sand Base) for AAC Block and Fly Ash Bricks.120 sq. ft. per 40kg bag (considering joint thickness of 3-6mm)</t>
  </si>
  <si>
    <t>AAC Block Joining Mortar(Lime Base) for AAC Block and Fly Ash Bricks.170 sq. ft. per 40kg bag (considering joint thickness of 2-5mm)</t>
  </si>
  <si>
    <t>Ready-Mix Plaster-for all wall type.(AAC Block, Concrete block, Clay Bricks). 15-20 sq. ft. per 40kg bag (considering joint thickness of 10-12mm)</t>
  </si>
  <si>
    <t>Water proof Plaster-for all wall type.(AAC Block, Concrete block, Clay Bricks). 15-20 sq. ft. per 40kg bag (considering joint thickness of 10-12mm)</t>
  </si>
  <si>
    <t>Water proof Master-for Tarace, Bathroom , Water Tanks, Exterior walls Sunshades, Canal Linings. 240sq. ft. per 20kg bag (for 0.6-0.8mm thick coat)</t>
  </si>
  <si>
    <t>Tile Adhesive-for Ceramic/vitrified tiles, wall/flooring, external/internal Bathroom. 30-40 sq. ft. per 20kg bag (for 3-6mm thick )</t>
  </si>
  <si>
    <t>Tile Adhesive 100 Ceramic and clay tiles/cement based backgrounds. Internal dry area application. 30-40 sq. ft. per 20kg bag (for 3-6mm thick )</t>
  </si>
  <si>
    <t>Tile powerfix 200 vitrified,semi vetrified and natural stones. Suitable for Internal(floor and wall)+External Floors 30-40 sq. ft. per 20kg bag (for 3-6mm thick )</t>
  </si>
  <si>
    <t>Tile powerfix 300 vitrified,semi vetrified,glass mossaic tiles and all stones. Suitable for Internal(floor and wall)+External Floors suitable for wet area 30-40 sq. ft. per 20kg bag (for 3-6mm thick )</t>
  </si>
  <si>
    <t>TILE MASTER 500- all types of tyles and stones, suitable for internal  and external(floor and wall), suitable for wet area 30-40 sq. ft. per 20kg bag (for 3-6mm thick )</t>
  </si>
  <si>
    <t>TILE MASTER 400- all types of tyles and stones, suitable for internal exteranl (floor and wall), suitable for wet area 30-40 sq. ft. per 20kg bag (for 3-6mm thick )</t>
  </si>
  <si>
    <t xml:space="preserve">  cf=a=
2080÷81 sf] :jLs[t b/ /]^</t>
  </si>
  <si>
    <t>GEO BAGS size 102cm*72cm;50 kg capacity; 330 GSM Non wooven</t>
  </si>
  <si>
    <t xml:space="preserve">Supply and Fixing of Steel Gate Including Spindle all complete. </t>
  </si>
  <si>
    <t>Concrete Brick dimension: 23*11*7.5 cm</t>
  </si>
  <si>
    <t>Pavor Block Hexagon- 20.6*20.6 cm Thickness:60mm</t>
  </si>
  <si>
    <t>Pavor Block Hexagon- 20.6*20.6 cm Thickness:80mm</t>
  </si>
  <si>
    <t>CSEB Interlocking brick(Dimension:30*15*10 cm)</t>
  </si>
  <si>
    <t>Sheet Pile</t>
  </si>
  <si>
    <r>
      <t xml:space="preserve">1÷2 xif{ kfj/ df]^/ OlG*og </t>
    </r>
    <r>
      <rPr>
        <sz val="10"/>
        <color rgb="FFFF0000"/>
        <rFont val="Times New Roman"/>
        <family val="1"/>
      </rPr>
      <t>(ISI)</t>
    </r>
  </si>
  <si>
    <t>sRrL -df^f]_ ;*sdf</t>
  </si>
  <si>
    <t>Aerolite AAC Block</t>
  </si>
  <si>
    <t>Size 600*200*100 mm</t>
  </si>
  <si>
    <t>Size 600*200*150 mm</t>
  </si>
  <si>
    <t>Size 600*200*200 mm</t>
  </si>
  <si>
    <t>Heavy Coated Gabion Wire chain link (fencing) With:</t>
  </si>
  <si>
    <t>Mesh size 1"x1" 12 gauge</t>
  </si>
  <si>
    <t>SQM</t>
  </si>
  <si>
    <t>Mesh size 2"x2" 10 gauge</t>
  </si>
  <si>
    <t>Mesh size 3"x3" 10 gauge</t>
  </si>
  <si>
    <t>l;=lh=cfO{= l;^ -;fbf_</t>
  </si>
  <si>
    <t>24 u]h x]eL 0=52 Pd=Pd=</t>
  </si>
  <si>
    <t>0=50 Pd=Pd=</t>
  </si>
  <si>
    <t>0=46 Pd=Pd=</t>
  </si>
  <si>
    <t>0=41 Pd=Pd=</t>
  </si>
  <si>
    <t>0=38 Pd=Pd=</t>
  </si>
  <si>
    <t>0=35 Pd=Pd=</t>
  </si>
  <si>
    <t>0=31 Pd=Pd=</t>
  </si>
  <si>
    <t>0=28 Pd=Pd=</t>
  </si>
  <si>
    <t>0=26 Pd=Pd=</t>
  </si>
  <si>
    <t>0=24 Pd=Pd=</t>
  </si>
  <si>
    <t>0=22 Pd=Pd=</t>
  </si>
  <si>
    <t>l;=lh=cfO{= l;^ -/éLg_</t>
  </si>
  <si>
    <t>H-Span Galvalum Sheet</t>
  </si>
  <si>
    <t>CPVC Pipe SDR 11 (28.1 Kg/cm2)-ASTM F-493 2846</t>
  </si>
  <si>
    <t>CPVC Pipe SDR 13.5 (22.5 Kg/cm2)-ASTM F-493 2846</t>
  </si>
  <si>
    <t>CPVC Ball Valve (CTS Sockets)</t>
  </si>
  <si>
    <t>CPVC Reducer Brass Coupling</t>
  </si>
  <si>
    <t>CPVC Tee</t>
  </si>
  <si>
    <t>CPVC Reducer Tee</t>
  </si>
  <si>
    <t>l;=g+</t>
  </si>
  <si>
    <t>lgdf{)f ;fdfu|Lx?sf] ljj/)f</t>
  </si>
  <si>
    <t>PsfO{</t>
  </si>
  <si>
    <t>/=dL</t>
  </si>
  <si>
    <t xml:space="preserve">3/4" X 1/2" </t>
  </si>
  <si>
    <t>1" X 1/2"</t>
  </si>
  <si>
    <t xml:space="preserve">1/2" X 1/2" X 3/4" </t>
  </si>
  <si>
    <t xml:space="preserve">3/4" X 3/4" x1/2" </t>
  </si>
  <si>
    <t xml:space="preserve">3/4" X 1 /2" X 3/4" </t>
  </si>
  <si>
    <t>3/4" X 1/2" X 1/2"</t>
  </si>
  <si>
    <t xml:space="preserve">1"x1"x3/4" </t>
  </si>
  <si>
    <t xml:space="preserve">1-1/2" X 1-1/2" X 1" </t>
  </si>
  <si>
    <t>2"x2"x 1"</t>
  </si>
  <si>
    <t xml:space="preserve">1-1/4" X 1-1/4" X 1/2" </t>
  </si>
  <si>
    <t xml:space="preserve">1-1/4" X 1-1/4" X 1" </t>
  </si>
  <si>
    <t xml:space="preserve">2" X 2" X 1/2" </t>
  </si>
  <si>
    <t xml:space="preserve">1" X 1" X 1/2" </t>
  </si>
  <si>
    <t>CPVC Brass FPT Tee</t>
  </si>
  <si>
    <t>1-1/4" X 1-1/4" X 1/2"</t>
  </si>
  <si>
    <t xml:space="preserve">1/2" X 1/2" </t>
  </si>
  <si>
    <t xml:space="preserve">1/2" X 1/2" X 1/2" </t>
  </si>
  <si>
    <t xml:space="preserve">3/4" X 3/4" X 1/2" </t>
  </si>
  <si>
    <t xml:space="preserve">1-1/4" X 1-1/4" X 1-1/4" </t>
  </si>
  <si>
    <t>CPVC Elbow 90°</t>
  </si>
  <si>
    <t>CPVC Reducer Elbow 90°</t>
  </si>
  <si>
    <t>3/4" X 1/2"</t>
  </si>
  <si>
    <t>CPVC Brass FPT Elbow 90°</t>
  </si>
  <si>
    <t>1-1/4" X 1-1/4"</t>
  </si>
  <si>
    <t>3/4" X 3/4"</t>
  </si>
  <si>
    <t xml:space="preserve">1" X 1/2" </t>
  </si>
  <si>
    <t>1" X 1"</t>
  </si>
  <si>
    <t>CPVC Elbow 45°</t>
  </si>
  <si>
    <t>CPVC Male Adapter (CPVC Threads)</t>
  </si>
  <si>
    <t>CPVC Reducing Male Adapter (CPVC Threads)</t>
  </si>
  <si>
    <t>CPVC Male Adapters (Brass Threads)</t>
  </si>
  <si>
    <t>CPVC Reducing Male Adapter (Brass Threads)</t>
  </si>
  <si>
    <t>CPVC Female Adapter (CPVC Threads)</t>
  </si>
  <si>
    <t>CPVC Female Adapters Brass Threads</t>
  </si>
  <si>
    <t>CPVC Caps</t>
  </si>
  <si>
    <t>CPVC Union</t>
  </si>
  <si>
    <t>CPVC Cross Tee</t>
  </si>
  <si>
    <t>CPVC Step Over Bend</t>
  </si>
  <si>
    <t>CPVC Solvent Cement</t>
  </si>
  <si>
    <t>473 ML</t>
  </si>
  <si>
    <t>237 ML</t>
  </si>
  <si>
    <t>50 ML</t>
  </si>
  <si>
    <t>118 ML</t>
  </si>
  <si>
    <t>946 ML</t>
  </si>
  <si>
    <t>Plastic Strap</t>
  </si>
  <si>
    <t>Metal Strap</t>
  </si>
  <si>
    <t>Tee Holder</t>
  </si>
  <si>
    <t>3/4" X 3/4" X 1/2"</t>
  </si>
  <si>
    <t>Elbow Holder</t>
  </si>
  <si>
    <t>1/2"X1/2"</t>
  </si>
  <si>
    <t>1/2" X 3/4"</t>
  </si>
  <si>
    <t>Snap Fix Repair Coupling</t>
  </si>
  <si>
    <t>End plug threaded 1/2"</t>
  </si>
  <si>
    <t>A) LUMINAIRES (FIXTURES)</t>
  </si>
  <si>
    <t>Accessories, screws, grips, pvc  tape,  choke, starter, Tube, bulbs, holder, flexible wire etc all complete.</t>
  </si>
  <si>
    <t>Dome light 8" with heavy carier Homedec or eqvt.</t>
  </si>
  <si>
    <t>1*40 watt Tube light mirror optic wipro / philips HPF or eqvt.</t>
  </si>
  <si>
    <t>1*40 watt Tube light box type wipro /philips HPF or eqvt.</t>
  </si>
  <si>
    <t>2*40 watt mirror optic Tube light wipro / philips HPF or eqvt.</t>
  </si>
  <si>
    <t>Mirror light decorative philips or eqvt.</t>
  </si>
  <si>
    <t>Indicator light for O.T.room red &amp; green color etc all complete.</t>
  </si>
  <si>
    <t>Electrical bell musical type of different sounds</t>
  </si>
  <si>
    <t xml:space="preserve"> B ) FAN / EXHAUST FAN</t>
  </si>
  <si>
    <t>Accessories nut,bolt,hook,clamp,regulator,flexible wire etc all complete.</t>
  </si>
  <si>
    <t>42" ceiling fan USHA or eqvt.</t>
  </si>
  <si>
    <t>9" exhaust fan Usha or eqvt.</t>
  </si>
  <si>
    <t>jfn km]g–cltl/St lkml6Ësf ;fdfg ;lxt</t>
  </si>
  <si>
    <t>C ) SOCKET, SWITCH, JUNCTION BOX</t>
  </si>
  <si>
    <t>Accessories: metal box, screw, grips, pvc tape, etc all complete</t>
  </si>
  <si>
    <t xml:space="preserve">16/6 Amps combined S/ socket flush type </t>
  </si>
  <si>
    <t>1 gang 1,2 way switch philips or eqvt</t>
  </si>
  <si>
    <t>2 gang 1,2 way switch philips or eqvt</t>
  </si>
  <si>
    <t>3 gang 1,2 way switch philips or eqvt</t>
  </si>
  <si>
    <t>4 gang 1,2 way switch philips or eqvt</t>
  </si>
  <si>
    <t>5 gang 1,2 way switch philips or eqvt</t>
  </si>
  <si>
    <t>6 gang 1,2 way switch philips or eqvt</t>
  </si>
  <si>
    <t>1 gang one bell push Philips or eqvt.</t>
  </si>
  <si>
    <t>Junction box made of metal withcover size 6"*4" etc all complete</t>
  </si>
  <si>
    <t xml:space="preserve"> D ) PANEL BOARD / DB</t>
  </si>
  <si>
    <t>Accessories: screws,grips,nut,bolt,cu bus bar,earth bus bar, neutral bus bar, fuse, porcelin base, cu strip for connection, cable shoe, phase bar, pvc tape etc all complete</t>
  </si>
  <si>
    <t>panel board made of mild steel sheet double cover floor mount suitable color push type lock size 12" *36" *48" suitable for housing the following items all complete (space for 4 no MCCB)</t>
  </si>
  <si>
    <t>100A TP MCCB of standard company</t>
  </si>
  <si>
    <t>40-50A TP MCCB of standard company</t>
  </si>
  <si>
    <t>Ammeter 0-500A</t>
  </si>
  <si>
    <t>volt meter 0-500 v</t>
  </si>
  <si>
    <t>CT coil of suitable ratio for panel board</t>
  </si>
  <si>
    <t>Indicator lamp for fuse</t>
  </si>
  <si>
    <t>Selector switch</t>
  </si>
  <si>
    <t>Distribution board 8 way TPN made of mild steel sheet double cover locable  of approved compny .Flush type etc all complete</t>
  </si>
  <si>
    <t>6,16, 25 Amps TP MCCB of approved company for light and power circuit</t>
  </si>
  <si>
    <t>40-63 Amps TP MCCB of approved company for main</t>
  </si>
  <si>
    <t>6,16,25 Amps TP MCB of approved company for main</t>
  </si>
  <si>
    <t>E ) POINT WIRING</t>
  </si>
  <si>
    <t>Accessories;HDPEpolythenepipe,screws,pvc,  tape, grips, circular box etc all complete</t>
  </si>
  <si>
    <t>2*3/20 pvc cu.wire for light and fan point 1/2"   HDPE polythene pipe</t>
  </si>
  <si>
    <t xml:space="preserve">2*7/22+1*3/22 pvc cu.wire for power point in 3/4" in HDPE polythene pipe </t>
  </si>
  <si>
    <t>2*7/20+1*3/22 pvc cu. Wire with A / C socket in 3/4" in HDPE polythene pipe for A/C etc all complete</t>
  </si>
  <si>
    <t>10mm sq.4 core unarmoured copper cable for DB in HDPE polythene pipe or through channel etc all complete</t>
  </si>
  <si>
    <t>8 swg cu.wire in HDPE polythene pipe for earth continuity from panel board to DB etc all complete</t>
  </si>
  <si>
    <t>F ) TELECOM SYSTEM</t>
  </si>
  <si>
    <t>Accessories;HDPE pipe screws,pvc tape grips etc all complete</t>
  </si>
  <si>
    <t>2 pair telephone cable for telephone point in 1/2"(20mm) polythene pipe</t>
  </si>
  <si>
    <t>5 pair telephone cable for main in (25mm) HDPE polythene pipe from junction box to telephone DB</t>
  </si>
  <si>
    <t>10 pair telephone cable for mainin (25mm) HDPE polythene pipe/ cable tray</t>
  </si>
  <si>
    <t>15 pair telephone cable for telephone point in 1/2"(20mm) polythene pipe</t>
  </si>
  <si>
    <t>20 pair telephone cable for telephone point in 1/2"(20mm) polythene pipe</t>
  </si>
  <si>
    <t>Telephone socket North west or eqvt.</t>
  </si>
  <si>
    <t>Telephone junction box6"*8" made of mild steel sheet with connector fuse type etc all complete</t>
  </si>
  <si>
    <t>Main DB made of mild steel sheetwith connector fuse typeetc all complete</t>
  </si>
  <si>
    <t>Matrix portion 308 EPABX systemexpandable 3 co line 8 single line extension, automatic STD,ISD lock call duration control external call forwardingor eqvt</t>
  </si>
  <si>
    <t>G ) EARTHING</t>
  </si>
  <si>
    <t>Earthing with cu.plate size 65cm*65cm*3.15mm with G.N.8 copper wire for earth continuity from panel board to earthing site etc all complete</t>
  </si>
  <si>
    <t xml:space="preserve">Transformer Installation items </t>
  </si>
  <si>
    <t>9 KV Lightening Arrester</t>
  </si>
  <si>
    <t>MS Fabricated Channel</t>
  </si>
  <si>
    <t>kg</t>
  </si>
  <si>
    <t>MS Nut Bolt different sizes(full/half thread)</t>
  </si>
  <si>
    <t>Eartning wire (Different sizes)</t>
  </si>
  <si>
    <t>Stay set</t>
  </si>
  <si>
    <t>Stay wire</t>
  </si>
  <si>
    <t>Stay insulator -LT</t>
  </si>
  <si>
    <t>Stay insulator -HT</t>
  </si>
  <si>
    <t>11 KV Link Switch (3 pieces)</t>
  </si>
  <si>
    <t>33 KV Link Switch (3 pieces)</t>
  </si>
  <si>
    <t>Super Enamelled Copper wire (Different sizes)</t>
  </si>
  <si>
    <t>Paper Insulator(copper wire)</t>
  </si>
  <si>
    <t>1.0 sq.mm PVC insulated copper wire</t>
  </si>
  <si>
    <t>1.50 sq.mm PVC insulated copper wire</t>
  </si>
  <si>
    <t>2.5 sq.mm PVC insulated copper wire</t>
  </si>
  <si>
    <t>4.0 sq.mm PVC insulated copper wire</t>
  </si>
  <si>
    <t>6.0 sq.mm PVC insulated copper wire</t>
  </si>
  <si>
    <t>10 sq.mm PVC insulated copper wire</t>
  </si>
  <si>
    <t>UPVC Roofing</t>
  </si>
  <si>
    <t>3mm Thick composition carbon fiber UPVC Roofing Sheet (Weight 5.5 to 6kg/sqm) with PMMA coating and glass fiber mesh (Regular Profile)</t>
  </si>
  <si>
    <t>3mm Thick composition carbon fiber UPVC Roofing Sheet (Weight 5.5 to 6kg/sqm) with PMMA coating and glass fiber mesh (Tile Profile)</t>
  </si>
  <si>
    <t>3mm thick Composition carbon fiber UPVC Ridge Cover sheet (Regular Profile)</t>
  </si>
  <si>
    <t>3mm thick Composition carbon fiber UPVC Ridge Cover sheet (TileProfile)</t>
  </si>
  <si>
    <t>Fiber Door</t>
  </si>
  <si>
    <t>Fiber Single Simple Panel</t>
  </si>
  <si>
    <t>Fiber Double Simply Designed Panel</t>
  </si>
  <si>
    <t>Fiber Double Designed Panel</t>
  </si>
  <si>
    <t>28mm fiber lamination Board</t>
  </si>
  <si>
    <t>0.8mm thick plain</t>
  </si>
  <si>
    <t>0.8mm thick corrugated</t>
  </si>
  <si>
    <t>1.2mm thick plain</t>
  </si>
  <si>
    <t>1.2mm thick corrugated</t>
  </si>
  <si>
    <t>2mm thick plain</t>
  </si>
  <si>
    <t>2mm thick corrugated</t>
  </si>
  <si>
    <t>3mm thick plain</t>
  </si>
  <si>
    <t>3mm thick corrugated</t>
  </si>
  <si>
    <r>
      <t>ax"alif{o -5</t>
    </r>
    <r>
      <rPr>
        <sz val="10"/>
        <rFont val="Times New Roman"/>
        <family val="1"/>
      </rPr>
      <t>*</t>
    </r>
    <r>
      <rPr>
        <sz val="10"/>
        <rFont val="FONTASY_ HIMALI_ TT"/>
        <family val="5"/>
      </rPr>
      <t>8 kf]nL Aofu_ jg k|hflt</t>
    </r>
  </si>
  <si>
    <r>
      <t>ax"alif{o -4</t>
    </r>
    <r>
      <rPr>
        <sz val="10"/>
        <rFont val="Times New Roman"/>
        <family val="1"/>
      </rPr>
      <t xml:space="preserve">* </t>
    </r>
    <r>
      <rPr>
        <sz val="10"/>
        <rFont val="FONTASY_ HIMALI_ TT"/>
        <family val="5"/>
      </rPr>
      <t xml:space="preserve">7 Aofu_ </t>
    </r>
  </si>
  <si>
    <r>
      <t>;f}Gbo{hgs lj?jf -5</t>
    </r>
    <r>
      <rPr>
        <sz val="10"/>
        <rFont val="Times New Roman"/>
        <family val="1"/>
      </rPr>
      <t>*</t>
    </r>
    <r>
      <rPr>
        <sz val="10"/>
        <rFont val="FONTASY_ HIMALI_ TT"/>
        <family val="5"/>
      </rPr>
      <t>8 Aofu_ ("jfgL ;d]t</t>
    </r>
  </si>
  <si>
    <r>
      <t>;f}Gbo{hgs lj?jf -4</t>
    </r>
    <r>
      <rPr>
        <sz val="10"/>
        <rFont val="Times New Roman"/>
        <family val="1"/>
      </rPr>
      <t>*</t>
    </r>
    <r>
      <rPr>
        <sz val="10"/>
        <rFont val="FONTASY_ HIMALI_ TT"/>
        <family val="5"/>
      </rPr>
      <t>7 Aofu_ ("jfgL ;d]t</t>
    </r>
  </si>
  <si>
    <t>j]t lj?jf</t>
  </si>
  <si>
    <t>af+; -sndL_</t>
  </si>
  <si>
    <r>
      <t>af;sf] kf]nLAofu -2</t>
    </r>
    <r>
      <rPr>
        <sz val="10"/>
        <rFont val="Calibri"/>
        <family val="2"/>
      </rPr>
      <t xml:space="preserve">– </t>
    </r>
    <r>
      <rPr>
        <sz val="10"/>
        <rFont val="Fontasy Himali"/>
        <family val="5"/>
      </rPr>
      <t xml:space="preserve">3 </t>
    </r>
    <r>
      <rPr>
        <sz val="10"/>
        <rFont val="FONTASY_ HIMALI_ TT"/>
        <family val="5"/>
      </rPr>
      <t>alif{o_ 4</t>
    </r>
    <r>
      <rPr>
        <sz val="10"/>
        <rFont val="Times New Roman"/>
        <family val="1"/>
      </rPr>
      <t>*</t>
    </r>
    <r>
      <rPr>
        <sz val="10"/>
        <rFont val="FONTASY_ HIMALI_ TT"/>
        <family val="5"/>
      </rPr>
      <t>7 eGbf dfly</t>
    </r>
  </si>
  <si>
    <t>ð</t>
  </si>
  <si>
    <t>bl/of a"bL{ uf]lnof tyf aNnfalNn sf&amp;÷bfp/f ;+sng ;DalGw</t>
  </si>
  <si>
    <t xml:space="preserve">  cf=a=
2081÷82 sf] :jLs[t b/ /]^</t>
  </si>
  <si>
    <t xml:space="preserve">14= d]l;g pks/)faf^ u/Lg] sfo{sf] b//]^          </t>
  </si>
  <si>
    <t>LED Bulb with all accessories</t>
  </si>
  <si>
    <t>12 Watt</t>
  </si>
  <si>
    <t>15 Watt</t>
  </si>
  <si>
    <t>20 Watt</t>
  </si>
  <si>
    <t>24 Watt</t>
  </si>
  <si>
    <t>30 Watt</t>
  </si>
  <si>
    <t>Street  Light  set with Sensor IP65 with all accessories</t>
  </si>
  <si>
    <t>40 Watt</t>
  </si>
  <si>
    <t>50 Watt</t>
  </si>
  <si>
    <t>Flood  Light  set with Sensor IP65 with all accessories</t>
  </si>
  <si>
    <t>100 Watt</t>
  </si>
  <si>
    <t>200 Watt</t>
  </si>
  <si>
    <t>९.१.३</t>
  </si>
  <si>
    <t>४ "</t>
  </si>
  <si>
    <t>रुपन्देही</t>
  </si>
  <si>
    <r>
      <t>:jLs[t lhNnf b/ २०८१</t>
    </r>
    <r>
      <rPr>
        <b/>
        <sz val="12"/>
        <rFont val="Arial"/>
        <family val="2"/>
      </rPr>
      <t>/८२</t>
    </r>
    <r>
      <rPr>
        <b/>
        <sz val="12"/>
        <rFont val="Fontasy Himali"/>
        <family val="5"/>
      </rPr>
      <t xml:space="preserve"> (13% </t>
    </r>
    <r>
      <rPr>
        <b/>
        <sz val="16"/>
        <rFont val="Preeti"/>
      </rPr>
      <t>Eof6 afx]s_</t>
    </r>
  </si>
  <si>
    <t xml:space="preserve"> For Irrigation Gates</t>
  </si>
  <si>
    <r>
      <t>13</t>
    </r>
    <r>
      <rPr>
        <b/>
        <sz val="10"/>
        <rFont val="Eras Light ITC"/>
        <family val="2"/>
      </rPr>
      <t>%</t>
    </r>
    <r>
      <rPr>
        <b/>
        <sz val="10"/>
        <rFont val="FONTASY_ HIMALI_ TT"/>
        <family val="5"/>
      </rPr>
      <t xml:space="preserve"> d'=c=s/ afx]ssf] b//]^ -?=_</t>
    </r>
  </si>
  <si>
    <t>Precast Boundary Wall : above the ground level with  M20 grade of concrete of 6 inch X 6 inch Post, and 7ft X2 inch X 1ft panel (L*B*H). Considering post and panel cap. (ApproxWeight/sqft 24.71kg.)</t>
  </si>
  <si>
    <t>Crusher Run Material 0-63mm Down (for Sub-base)</t>
  </si>
  <si>
    <t>Street  Light  set with casing and bulb with all accessories</t>
  </si>
  <si>
    <t>Stringing of Conductor(0.05sq inchWire)</t>
  </si>
  <si>
    <t>भ्याट छुट</t>
  </si>
  <si>
    <t>प्रति घ.मि.</t>
  </si>
  <si>
    <t>5. सडक तथा पुल निर्माणमा प्रयोग हुने निर्माण सामाग्री</t>
  </si>
  <si>
    <t xml:space="preserve">विटूमिन ८०/१०० ग्रेड VG-10 </t>
  </si>
  <si>
    <r>
      <t xml:space="preserve">विटूमिन 60/70 ग्रेड  </t>
    </r>
    <r>
      <rPr>
        <sz val="10"/>
        <rFont val="Times New Roman"/>
        <family val="1"/>
      </rPr>
      <t>VG-30</t>
    </r>
    <r>
      <rPr>
        <sz val="10"/>
        <rFont val="FONTASY_ HIMALI_ TT"/>
        <family val="5"/>
      </rPr>
      <t xml:space="preserve"> </t>
    </r>
  </si>
  <si>
    <r>
      <t>रबर बेस बिटूमिन  (</t>
    </r>
    <r>
      <rPr>
        <sz val="10"/>
        <rFont val="Times New Roman"/>
        <family val="1"/>
      </rPr>
      <t>CRMB-DIGO 50)</t>
    </r>
    <r>
      <rPr>
        <sz val="10"/>
        <rFont val="FONTASY_ HIMALI_ TT"/>
        <family val="5"/>
      </rPr>
      <t xml:space="preserve"> </t>
    </r>
  </si>
  <si>
    <r>
      <t>रबर बेस बिटूमिन  (</t>
    </r>
    <r>
      <rPr>
        <sz val="10"/>
        <rFont val="Times New Roman"/>
        <family val="1"/>
      </rPr>
      <t>CRMB-DIGO 55)</t>
    </r>
    <r>
      <rPr>
        <sz val="10"/>
        <rFont val="FONTASY_ HIMALI_ TT"/>
        <family val="5"/>
      </rPr>
      <t xml:space="preserve"> </t>
    </r>
  </si>
  <si>
    <t>के.जी.</t>
  </si>
  <si>
    <t>र.मि.</t>
  </si>
  <si>
    <t>प्रतिशत</t>
  </si>
  <si>
    <t>नेपाल आयल निगमको दररेट अनुसार</t>
  </si>
  <si>
    <t>विटूमिन इमल्सन</t>
  </si>
  <si>
    <t xml:space="preserve">छिटो जम्ने ६०% विटूमिन </t>
  </si>
  <si>
    <t xml:space="preserve">छिटो जम्ने ६५% विटूमिन </t>
  </si>
  <si>
    <t xml:space="preserve">छिटो जम्ने ७०% विटूमिन </t>
  </si>
  <si>
    <t xml:space="preserve">मध्यम जम्ने ६०% विटूमिन </t>
  </si>
  <si>
    <t xml:space="preserve">मध्यम जम्ने ६५% विटूमिन </t>
  </si>
  <si>
    <t xml:space="preserve">ढिलो जम्ने ६०% विटूमिन </t>
  </si>
  <si>
    <t xml:space="preserve">स्लरी सिल ६०% विटूमिन </t>
  </si>
  <si>
    <t>रेडि मिक्स कंक्रिटको कार्य (५ कि.मि. सम्मको ढुवानी समेत)</t>
  </si>
  <si>
    <t>व.मि.</t>
  </si>
  <si>
    <t>घ.मि.</t>
  </si>
  <si>
    <t>ह्यूम पाइप</t>
  </si>
  <si>
    <t>लिटर</t>
  </si>
  <si>
    <t>गोटा</t>
  </si>
  <si>
    <t xml:space="preserve">6. रङ्ग रोगन सम्बन्धी सामाग्री </t>
  </si>
  <si>
    <t>इनामेल पेन्ट</t>
  </si>
  <si>
    <t>वारनिस</t>
  </si>
  <si>
    <t>अलमुनियम पेन्ट</t>
  </si>
  <si>
    <t>फर्निचर इनामेल</t>
  </si>
  <si>
    <t>मेटल प्राइमर</t>
  </si>
  <si>
    <t>उडन प्राइमर</t>
  </si>
  <si>
    <t>रेन्सिल पेन्ट</t>
  </si>
  <si>
    <t>लिन्सिड आयल</t>
  </si>
  <si>
    <t>स्प्रिट</t>
  </si>
  <si>
    <t>अलकत्रा पेन्ट</t>
  </si>
  <si>
    <t>टारपेन्टाइन आयल</t>
  </si>
  <si>
    <t>वाटर प्रुफ सिमेन्ट पेन्ट (Snowcem)</t>
  </si>
  <si>
    <t>ब्ल्याकबोर्ड पेन्ट</t>
  </si>
  <si>
    <t xml:space="preserve">डिस्टेम्पर </t>
  </si>
  <si>
    <t xml:space="preserve">डिस्टेम्पर (वासेवल) </t>
  </si>
  <si>
    <t>चुना</t>
  </si>
  <si>
    <t>गम</t>
  </si>
  <si>
    <t>पुटिन</t>
  </si>
  <si>
    <t>मैनपालिस</t>
  </si>
  <si>
    <t>अक्जालिक एसिड</t>
  </si>
  <si>
    <t>खाक्सी</t>
  </si>
  <si>
    <t>सिमेन्ट प्राइमर</t>
  </si>
  <si>
    <t>सेफकिट</t>
  </si>
  <si>
    <t>वाटर प्रुफ कम्पाउण्ड</t>
  </si>
  <si>
    <t>सरेस</t>
  </si>
  <si>
    <t>प्लास्टर अफ पेरिस</t>
  </si>
  <si>
    <t>चप्परा पालिस</t>
  </si>
  <si>
    <t>विटूमिन</t>
  </si>
  <si>
    <t>15cm ø (NP3 Class)</t>
  </si>
  <si>
    <t>20cm ø (NP3 Class)</t>
  </si>
  <si>
    <t>25cm ø (NP3 Class)</t>
  </si>
  <si>
    <t>30 cm ø (NP3 Class)</t>
  </si>
  <si>
    <t>40 cm ø (NP3 Class)</t>
  </si>
  <si>
    <t>45 cm ø (NP3 Class)</t>
  </si>
  <si>
    <t>50 cm ø (NP3 Class)</t>
  </si>
  <si>
    <t>60 cm ø (NP3 Class)</t>
  </si>
  <si>
    <t>75 cm ø (NP3 Class)</t>
  </si>
  <si>
    <t>90 cm ø (NP3 Class)</t>
  </si>
  <si>
    <t>100 cm ø (NP3 Class)</t>
  </si>
  <si>
    <t>120 cm ø (NP3 Class)</t>
  </si>
  <si>
    <t>150cm ø (NP3 Class)</t>
  </si>
  <si>
    <t>15 cm ø (NP2 Class)</t>
  </si>
  <si>
    <t>20 cm ø (NP2 Class)</t>
  </si>
  <si>
    <t>25 cm ø (NP2 Class)</t>
  </si>
  <si>
    <t>30 cm ø (NP2 Class)</t>
  </si>
  <si>
    <t>40 cm ø (NP2 Class)</t>
  </si>
  <si>
    <t>45cm ø (NP2 Class)</t>
  </si>
  <si>
    <t>जियोटेक्सटाइल</t>
  </si>
  <si>
    <t>जिल्ला प्रशासन कार्यालय</t>
  </si>
  <si>
    <t>नवलपरासी (ब.सु.प.)</t>
  </si>
  <si>
    <t>क्र.सं.</t>
  </si>
  <si>
    <t>विवरण</t>
  </si>
  <si>
    <t>उपस्थिती</t>
  </si>
  <si>
    <t>भवन निर्माणमा प्रयोग हुने निर्माण सामाग्री</t>
  </si>
  <si>
    <t>फलामजन्य निर्माण सामाग्री</t>
  </si>
  <si>
    <t>सि.पि.भि.सी. पाइप</t>
  </si>
  <si>
    <t>खानेपानी सम्बन्धी हाते औजारहरु</t>
  </si>
  <si>
    <t>लघू जलविद्यूत सम्बन्धी सामाग्री</t>
  </si>
  <si>
    <t>विविध निर्माण सामाग्री</t>
  </si>
  <si>
    <t>सरकारी कार्यालयमा आवश्यक हुने अन्य मालसामान</t>
  </si>
  <si>
    <t>फाइवर ग्लास सम्बन्धी निर्माण सामाग्री</t>
  </si>
  <si>
    <t>तयार गर्ने</t>
  </si>
  <si>
    <t>प्रति व्यक्ति प्रति दिन</t>
  </si>
  <si>
    <t>प्रति लेवर / दिन</t>
  </si>
  <si>
    <t>मासिक</t>
  </si>
  <si>
    <t xml:space="preserve">चिम्नी भट्टाको प्रथम श्रेणीको </t>
  </si>
  <si>
    <t xml:space="preserve">चिम्नी भट्टाको द्वीतीय श्रेणीको </t>
  </si>
  <si>
    <t xml:space="preserve">मेशिन मेड (चाइनिज ईट्टा) </t>
  </si>
  <si>
    <t>स्थानीय भट्टाको ईटा</t>
  </si>
  <si>
    <t>ईटाको टुक्रा (रविस)</t>
  </si>
  <si>
    <t>राठ ईट्टा</t>
  </si>
  <si>
    <t>क</t>
  </si>
  <si>
    <t>ख</t>
  </si>
  <si>
    <t>ग</t>
  </si>
  <si>
    <t>घ</t>
  </si>
  <si>
    <t>हजार</t>
  </si>
  <si>
    <t>ईटा (ढुवानी समेत)</t>
  </si>
  <si>
    <t>ढुङ्गा</t>
  </si>
  <si>
    <t>बोल्डर</t>
  </si>
  <si>
    <t>फोरुवा ढुङ्गा</t>
  </si>
  <si>
    <t>बोरा</t>
  </si>
  <si>
    <t>र.फी.</t>
  </si>
  <si>
    <t>व.फी.</t>
  </si>
  <si>
    <t>Month/Year</t>
  </si>
  <si>
    <t>Index</t>
  </si>
  <si>
    <t>% Change</t>
  </si>
  <si>
    <t xml:space="preserve">उपस्थिती </t>
  </si>
  <si>
    <t>सि.नं.</t>
  </si>
  <si>
    <t>पद</t>
  </si>
  <si>
    <t>नाम</t>
  </si>
  <si>
    <t>कार्यालय</t>
  </si>
  <si>
    <t>दस्तखत</t>
  </si>
  <si>
    <t>प्रमुख जिल्ला अधिकारी</t>
  </si>
  <si>
    <t>हिरालाल रेग्मी</t>
  </si>
  <si>
    <t>निर्णयहरुः</t>
  </si>
  <si>
    <t>निर्णय नं.</t>
  </si>
  <si>
    <t xml:space="preserve">निर्णयको व्यहोरा </t>
  </si>
  <si>
    <t>यसमा उल्लेख नभएका निर्माणसँग सम्बन्धित अन्य आवश्यक निर्माण सामाग्रीको हकमा सम्बन्धित कार्यालयले प्रचलित नियम कानुनको अधिनमा रही गुणस्तर तथा स्पेशिफिकेशन यकिन गरी निर्माण सामाग्रीहरुको उत्पादक वा आधिकारिक बिक्रेताहरुबाट दरभाउपत्र प्राप्त गरी कार्यान्वयन गर्न सक्ने निर्णय गरीयो ।</t>
  </si>
  <si>
    <t>विषय सूची</t>
  </si>
  <si>
    <t>पृष्ठ संख्या</t>
  </si>
  <si>
    <t>विषय</t>
  </si>
  <si>
    <t>निर्णयहरु</t>
  </si>
  <si>
    <t>नोट : उपरोक्त पदका कामदारहरु बाहेक अन्य पदहरुमा ज्यालादारीमा काम गराउने भएमा जुन पदमा काम गराउने हो सो को लागि नेपाल सरकारको वा सम्बन्धित संस्थानको शुरु तलबमानलाई २६ दिनले भाग गरी आउने रकमलाई प्रतिदिनको ज्याला कायम गर्ने ।</t>
  </si>
  <si>
    <t>पिच स्प्रेयर, पिच व्वायलर, पम्प अपरेटर, बोरीङ्ग अपरेटर,जिनियर ल्याव टक्निसियन,  आ. वा. अपरेटर</t>
  </si>
  <si>
    <t>वनज्यामी सुपरभाइजर</t>
  </si>
  <si>
    <t>प्लम्बर हेल्पर</t>
  </si>
  <si>
    <t>चेनम्यान, टेपम्यान, स्टाफम्यान, नापी सहायक, सर्भे हेल्पर (नापीसँग सम्बन्धित कार्य)</t>
  </si>
  <si>
    <t>भरिया (४० के.जी. तौलसम्म)</t>
  </si>
  <si>
    <t>सिनियर ल्याब टेक्निसियन (उच्च माध्यमिक तह उत्तीर्ण गरी तालिम प्राप्त गरेको)</t>
  </si>
  <si>
    <t>जुनियर ल्याब टेक्निसियन (SEE वा सो सरह उत्तीर्ण गरी तालिम प्राप्त गरेको)</t>
  </si>
  <si>
    <t>साधारण सुपरभाइजर (निर्माण कार्यको लागि)</t>
  </si>
  <si>
    <t>स्वीपर (पूरा कार्यालय समय), सडकमा काम गर्ने लेन्थवर्कर</t>
  </si>
  <si>
    <t>सिमा नापी कार्यको लागि चेनमेनको ज्याला</t>
  </si>
  <si>
    <t>हेभी इक्वीपमेन्ट अपरेटर (क्रेन, डोजर, ग्रेडर, रोलर, लोडर, आदी ), हेभी सवारी चालक</t>
  </si>
  <si>
    <t>नर्सरी नाइके, वन हेरालु (दैनिक ८ घण्टा काम गर्ने )</t>
  </si>
  <si>
    <t>फोरम्यान (निर्माण कार्यको लागि)</t>
  </si>
  <si>
    <t>फोरम्यान (ईलेक्ट्रिक कार्यको लागि)</t>
  </si>
  <si>
    <t>सुरक्षा गार्ड, चौकिदार</t>
  </si>
  <si>
    <t>ब्लास्टर हेल्पर</t>
  </si>
  <si>
    <t>हलुका सवारी चालक</t>
  </si>
  <si>
    <t>गेट अपरेटर</t>
  </si>
  <si>
    <t>कृषि मजदुर</t>
  </si>
  <si>
    <t>अनुबन्धित ज्यामी</t>
  </si>
  <si>
    <t>खंदेल, स्याम्पलर</t>
  </si>
  <si>
    <t>क्याम्प वर्कर</t>
  </si>
  <si>
    <t>ड्रील हेल्पर, पम्प हेल्पर, पाइप फिटर</t>
  </si>
  <si>
    <r>
      <t xml:space="preserve">सुपरभाइजर </t>
    </r>
    <r>
      <rPr>
        <sz val="11"/>
        <color theme="1"/>
        <rFont val="Times New Roman"/>
        <family val="1"/>
      </rPr>
      <t>SEE  वा सो सरह</t>
    </r>
  </si>
  <si>
    <t>सेनेटरी सामानको फिटिङ ज्याला (सामानको पसल मुल्यको आधारमा कायम गर्ने )</t>
  </si>
  <si>
    <t>फोहर ढल सफा गर्ने मजदुर</t>
  </si>
  <si>
    <t>विभिन्न प्रकारका सिमेन्टका मूर्तीहरु कुद्ने/बनाउने विशेष किसिमका कालिगढ</t>
  </si>
  <si>
    <t>गोताखोर</t>
  </si>
  <si>
    <t>हेभी इक्वीपमेन्ट हेल्पर / सवारी हेल्पर</t>
  </si>
  <si>
    <t xml:space="preserve">(अदक्ष कामदार) ज्यामी साधारण, वन ज्यामी, माली, रनर, सयस </t>
  </si>
  <si>
    <t>अग्नी नियन्त्रक</t>
  </si>
  <si>
    <t>इलेक्ट्रिसियन हेल्पर/ लाइनम्यान</t>
  </si>
  <si>
    <r>
      <t>पोलिमर बेस बिटूमिन (</t>
    </r>
    <r>
      <rPr>
        <sz val="10"/>
        <rFont val="Times New Roman"/>
        <family val="1"/>
      </rPr>
      <t>PMB-40)</t>
    </r>
  </si>
  <si>
    <t>थर्मोप्लास्टिक पेन्ट</t>
  </si>
  <si>
    <t>ग्लास बिडस</t>
  </si>
  <si>
    <t>सडक सुरक्षामा प्रयोग हुने सामाग्री</t>
  </si>
  <si>
    <t>Cats Eye</t>
  </si>
  <si>
    <t>Retroreflective Delineator (900mm height, 50mm dia)</t>
  </si>
  <si>
    <t>Retroreflective Metal Delineator (1500mm x100mmx 100mm )</t>
  </si>
  <si>
    <t>प्रति दिन</t>
  </si>
  <si>
    <t>प्रति पिस दररेट</t>
  </si>
  <si>
    <t>प्रति घ.मि. दररेट</t>
  </si>
  <si>
    <t>प्रति व.मि. दररेट</t>
  </si>
  <si>
    <t>Elastomeric Bearing</t>
  </si>
  <si>
    <t>Free Type</t>
  </si>
  <si>
    <t>Fixed End Dowel Type</t>
  </si>
  <si>
    <t>Pot Bearing</t>
  </si>
  <si>
    <t>Fixed Pot Bearing (296 Ton Capacity)</t>
  </si>
  <si>
    <t>Long Guide Pot Bearing (296 Ton Capacity)</t>
  </si>
  <si>
    <t>Expansion Joint</t>
  </si>
  <si>
    <t>HT Strands 12.7mm-7 Ply</t>
  </si>
  <si>
    <t>Corrugated HDPE Sheathing Duct ID=90mm</t>
  </si>
  <si>
    <t>Supply of prestresing machine along with grouting all complete for single span bridge</t>
  </si>
  <si>
    <t>एच.डि.पी. पाइप (NS-40)</t>
  </si>
  <si>
    <t>CPVC Ball Valve  (Brass Threads)</t>
  </si>
  <si>
    <t>Elbow 90º</t>
  </si>
  <si>
    <t>Elbow 45º</t>
  </si>
  <si>
    <r>
      <t>20*</t>
    </r>
    <r>
      <rPr>
        <b/>
        <vertAlign val="superscript"/>
        <sz val="12"/>
        <rFont val="Times New Roman"/>
        <family val="1"/>
      </rPr>
      <t>1</t>
    </r>
    <r>
      <rPr>
        <b/>
        <sz val="12"/>
        <rFont val="Times New Roman"/>
        <family val="1"/>
      </rPr>
      <t>/</t>
    </r>
    <r>
      <rPr>
        <b/>
        <vertAlign val="subscript"/>
        <sz val="12"/>
        <rFont val="Times New Roman"/>
        <family val="1"/>
      </rPr>
      <t>2</t>
    </r>
    <r>
      <rPr>
        <b/>
        <sz val="12"/>
        <rFont val="Times New Roman"/>
        <family val="1"/>
      </rPr>
      <t>"</t>
    </r>
  </si>
  <si>
    <r>
      <t>20*</t>
    </r>
    <r>
      <rPr>
        <b/>
        <vertAlign val="superscript"/>
        <sz val="12"/>
        <rFont val="Times New Roman"/>
        <family val="1"/>
      </rPr>
      <t>3</t>
    </r>
    <r>
      <rPr>
        <b/>
        <sz val="12"/>
        <rFont val="Times New Roman"/>
        <family val="1"/>
      </rPr>
      <t>/</t>
    </r>
    <r>
      <rPr>
        <b/>
        <vertAlign val="subscript"/>
        <sz val="12"/>
        <rFont val="Times New Roman"/>
        <family val="1"/>
      </rPr>
      <t>4</t>
    </r>
    <r>
      <rPr>
        <b/>
        <sz val="12"/>
        <rFont val="Times New Roman"/>
        <family val="1"/>
      </rPr>
      <t>"</t>
    </r>
  </si>
  <si>
    <r>
      <t>25*</t>
    </r>
    <r>
      <rPr>
        <b/>
        <vertAlign val="superscript"/>
        <sz val="12"/>
        <rFont val="Times New Roman"/>
        <family val="1"/>
      </rPr>
      <t>1</t>
    </r>
    <r>
      <rPr>
        <b/>
        <sz val="12"/>
        <rFont val="Times New Roman"/>
        <family val="1"/>
      </rPr>
      <t>/</t>
    </r>
    <r>
      <rPr>
        <b/>
        <vertAlign val="subscript"/>
        <sz val="12"/>
        <rFont val="Times New Roman"/>
        <family val="1"/>
      </rPr>
      <t>2</t>
    </r>
    <r>
      <rPr>
        <b/>
        <sz val="12"/>
        <rFont val="Times New Roman"/>
        <family val="1"/>
      </rPr>
      <t>"</t>
    </r>
  </si>
  <si>
    <r>
      <t>25*</t>
    </r>
    <r>
      <rPr>
        <b/>
        <vertAlign val="superscript"/>
        <sz val="12"/>
        <rFont val="Times New Roman"/>
        <family val="1"/>
      </rPr>
      <t>3</t>
    </r>
    <r>
      <rPr>
        <b/>
        <sz val="12"/>
        <rFont val="Times New Roman"/>
        <family val="1"/>
      </rPr>
      <t>/</t>
    </r>
    <r>
      <rPr>
        <b/>
        <vertAlign val="subscript"/>
        <sz val="12"/>
        <rFont val="Times New Roman"/>
        <family val="1"/>
      </rPr>
      <t>4</t>
    </r>
    <r>
      <rPr>
        <b/>
        <sz val="12"/>
        <rFont val="Times New Roman"/>
        <family val="1"/>
      </rPr>
      <t>"</t>
    </r>
  </si>
  <si>
    <r>
      <t>32*</t>
    </r>
    <r>
      <rPr>
        <b/>
        <vertAlign val="superscript"/>
        <sz val="12"/>
        <rFont val="Times New Roman"/>
        <family val="1"/>
      </rPr>
      <t>1</t>
    </r>
    <r>
      <rPr>
        <b/>
        <sz val="12"/>
        <rFont val="Times New Roman"/>
        <family val="1"/>
      </rPr>
      <t>/</t>
    </r>
    <r>
      <rPr>
        <b/>
        <vertAlign val="subscript"/>
        <sz val="12"/>
        <rFont val="Times New Roman"/>
        <family val="1"/>
      </rPr>
      <t>2</t>
    </r>
    <r>
      <rPr>
        <b/>
        <sz val="12"/>
        <rFont val="Times New Roman"/>
        <family val="1"/>
      </rPr>
      <t>"</t>
    </r>
  </si>
  <si>
    <r>
      <t>32*</t>
    </r>
    <r>
      <rPr>
        <b/>
        <vertAlign val="superscript"/>
        <sz val="12"/>
        <rFont val="Times New Roman"/>
        <family val="1"/>
      </rPr>
      <t>3</t>
    </r>
    <r>
      <rPr>
        <b/>
        <sz val="12"/>
        <rFont val="Times New Roman"/>
        <family val="1"/>
      </rPr>
      <t>/</t>
    </r>
    <r>
      <rPr>
        <b/>
        <vertAlign val="subscript"/>
        <sz val="12"/>
        <rFont val="Times New Roman"/>
        <family val="1"/>
      </rPr>
      <t>4</t>
    </r>
    <r>
      <rPr>
        <b/>
        <sz val="12"/>
        <rFont val="Times New Roman"/>
        <family val="1"/>
      </rPr>
      <t>"</t>
    </r>
  </si>
  <si>
    <r>
      <t>40*11/</t>
    </r>
    <r>
      <rPr>
        <b/>
        <vertAlign val="subscript"/>
        <sz val="12"/>
        <rFont val="Times New Roman"/>
        <family val="1"/>
      </rPr>
      <t>4</t>
    </r>
    <r>
      <rPr>
        <b/>
        <sz val="12"/>
        <rFont val="Times New Roman"/>
        <family val="1"/>
      </rPr>
      <t>"</t>
    </r>
  </si>
  <si>
    <r>
      <t>50*1</t>
    </r>
    <r>
      <rPr>
        <b/>
        <vertAlign val="superscript"/>
        <sz val="12"/>
        <rFont val="Times New Roman"/>
        <family val="1"/>
      </rPr>
      <t>1</t>
    </r>
    <r>
      <rPr>
        <b/>
        <sz val="12"/>
        <rFont val="Times New Roman"/>
        <family val="1"/>
      </rPr>
      <t>/</t>
    </r>
    <r>
      <rPr>
        <b/>
        <vertAlign val="subscript"/>
        <sz val="12"/>
        <rFont val="Times New Roman"/>
        <family val="1"/>
      </rPr>
      <t>2</t>
    </r>
    <r>
      <rPr>
        <b/>
        <sz val="12"/>
        <rFont val="Times New Roman"/>
        <family val="1"/>
      </rPr>
      <t>"</t>
    </r>
  </si>
  <si>
    <r>
      <t>75*2</t>
    </r>
    <r>
      <rPr>
        <b/>
        <vertAlign val="superscript"/>
        <sz val="12"/>
        <rFont val="Times New Roman"/>
        <family val="1"/>
      </rPr>
      <t>1</t>
    </r>
    <r>
      <rPr>
        <b/>
        <sz val="12"/>
        <rFont val="Times New Roman"/>
        <family val="1"/>
      </rPr>
      <t>/</t>
    </r>
    <r>
      <rPr>
        <b/>
        <vertAlign val="subscript"/>
        <sz val="12"/>
        <rFont val="Times New Roman"/>
        <family val="1"/>
      </rPr>
      <t>2</t>
    </r>
    <r>
      <rPr>
        <b/>
        <sz val="12"/>
        <rFont val="Times New Roman"/>
        <family val="1"/>
      </rPr>
      <t>"</t>
    </r>
  </si>
  <si>
    <r>
      <t>65ldld= :of*n km]/f]n 2</t>
    </r>
    <r>
      <rPr>
        <vertAlign val="superscript"/>
        <sz val="10"/>
        <rFont val="Arial"/>
        <family val="2"/>
      </rPr>
      <t>1/2</t>
    </r>
    <r>
      <rPr>
        <sz val="10"/>
        <rFont val="Arial"/>
        <family val="2"/>
      </rPr>
      <t>x1/2* PVC</t>
    </r>
  </si>
  <si>
    <t>जि.आई.स्याडल (एम.एस. विथ जि.आइ. निप्पल)</t>
  </si>
  <si>
    <t>11/4"</t>
  </si>
  <si>
    <t>11/2"</t>
  </si>
  <si>
    <t>21/2"</t>
  </si>
  <si>
    <t>15mm</t>
  </si>
  <si>
    <t>150mm</t>
  </si>
  <si>
    <t>300mm</t>
  </si>
  <si>
    <t>DI Pipe M/C</t>
  </si>
  <si>
    <t>DI Sluice Valve</t>
  </si>
  <si>
    <t>DI Cross Tee</t>
  </si>
  <si>
    <t>DI Tee(Double Socket with Flange Branch)</t>
  </si>
  <si>
    <t>DI Reducer</t>
  </si>
  <si>
    <t>DI Mechanical Coupling</t>
  </si>
  <si>
    <t>DI Bell Mouth</t>
  </si>
  <si>
    <t>DI Duck foot</t>
  </si>
  <si>
    <t>DI Puddlecolor 1 mtr long</t>
  </si>
  <si>
    <t>MS Clamp</t>
  </si>
  <si>
    <t>DI Tail Pice(400)</t>
  </si>
  <si>
    <t>DI Bend(Double Flange)</t>
  </si>
  <si>
    <t>DI Socket with Flange</t>
  </si>
  <si>
    <t>MS Flange Set OD</t>
  </si>
  <si>
    <t>MS Slotted Pipe</t>
  </si>
  <si>
    <t>Jhonson radial screen (SS 304)</t>
  </si>
  <si>
    <t>Cum</t>
  </si>
  <si>
    <t>10 sq.mm.</t>
  </si>
  <si>
    <t>Electric Panel Board</t>
  </si>
  <si>
    <t>कपिलबस्तुबाट साभार</t>
  </si>
  <si>
    <t>Nos</t>
  </si>
  <si>
    <t>रुपन्देही जिल्ला रेटबाट साभार</t>
  </si>
  <si>
    <t>14 mm thick surface plate of suitable hole and  MS bend and its installation for 8"-10" Housing pipe</t>
  </si>
  <si>
    <t>Water Tank truck (Hrs)</t>
  </si>
  <si>
    <t>Water level indicator</t>
  </si>
  <si>
    <t>Machinery Hiring Rate</t>
  </si>
  <si>
    <t xml:space="preserve">Tripod </t>
  </si>
  <si>
    <t>Welding Generator</t>
  </si>
  <si>
    <t>Discharge Meter</t>
  </si>
  <si>
    <t>Hrs</t>
  </si>
  <si>
    <t>दाङ्ग जिल्लाबाट साभार</t>
  </si>
  <si>
    <t>रुपन्देहीबाट साभार</t>
  </si>
  <si>
    <t>Drill bit(no)</t>
  </si>
  <si>
    <t>Oxygen gas (Cylinder)</t>
  </si>
  <si>
    <t>Acetelyne gas(Cylinder)</t>
  </si>
  <si>
    <t>Bucket</t>
  </si>
  <si>
    <t>Liner</t>
  </si>
  <si>
    <t>m</t>
  </si>
  <si>
    <t>Rig Machine(Hrs)</t>
  </si>
  <si>
    <t>Elec. Generator (Hrs)</t>
  </si>
  <si>
    <t>Cargo truck(Hrs)</t>
  </si>
  <si>
    <t>Pick up truck(Hrs)</t>
  </si>
  <si>
    <t>Water pump(Hrs)</t>
  </si>
  <si>
    <t>Compressor</t>
  </si>
  <si>
    <t>Submersible pump</t>
  </si>
  <si>
    <t>Electric logging machine</t>
  </si>
  <si>
    <t>Kg</t>
  </si>
  <si>
    <t>दक्ष / सिपालू कामदार : ( सिकर्मी, डकर्मी, नकर्मी), प्लम्बर, ग्याबीयन बुन्ने मिस्त्री, ट्यूववेल गाड्ने मिस्त्री, ड्रिलर, मेकानिक्स, ईलेक्ट्रिसियन, ढुङ्गा/काठमा बुट्टा भर्ने, फोटोग्राफर, चित्रकार, बार बेन्डर, ब्लास्टर, वेल्डर</t>
  </si>
  <si>
    <t>ईन्धन जन्य सामाग्री</t>
  </si>
  <si>
    <t>लुब्रिकेन्ट</t>
  </si>
  <si>
    <t>दाङ्गबाट साभार</t>
  </si>
  <si>
    <t>ग्रिज</t>
  </si>
  <si>
    <t>हाइड्रलिक आयल, गेयर आयल, ब्रेक आयल</t>
  </si>
  <si>
    <t>डिजेल, पेट्रोल, मट्टीतेल</t>
  </si>
  <si>
    <t>रुपन्देहीबाट साभआर</t>
  </si>
  <si>
    <t>काठमाडौबाट साभार</t>
  </si>
  <si>
    <t>सडक विभागको नर्मस अनुसार दररेट विश्लेषण गरेर गर्ने</t>
  </si>
  <si>
    <t>कैफियत</t>
  </si>
  <si>
    <t>dflg;åf/f kf]n ('jfgL -8 dL^/ eGbf nfdf] kmnfd] ^\o"a"n/ kf]n_</t>
  </si>
  <si>
    <t>clt c;lhnf] ;fdfg -;fdfGotM  Ps AolQmn] dfq af]Sg g;Sg] ;fdfgx? h:t}M lh= cfO{= kfO{k, sf¤*]tf/, kmnfd] %*, On]S^«f]d]sflgsn ;fdfg, 3 b]lv 8 dL^/;Dd nfdf] :^Ln kf^{;\÷lah'nLsf] kf]n÷^]lnkmf]gsf] kf]n, lk= P;= l;= kf]n, cflb_</t>
  </si>
  <si>
    <t>c;lhnf] ;fdfg -;fdfGo ef/L agfO{ Ps AolQmn] af]Sg ;Sg] — t/ Ifdtf cg';f/ tf}n gk'Ug] — ;fdfgx?, h:t}Mss{^kftf, a'g]sf] Uoflaog tf/hfnL, la:kmf]^s kbfy{, Pr= l*= lk= O{= kfO{k, OG;'n]^/, cf}ifwL, sf&amp;, s[lifhGo kmnk'mnsf] la?jf, cflb_</t>
  </si>
  <si>
    <r>
      <t xml:space="preserve">;lhnf] ;fdfg -*f]sf], y'G;], af]/f, afs;, cflbdf /fvL 1 AolQmn] </t>
    </r>
    <r>
      <rPr>
        <sz val="9"/>
        <rFont val="Arial"/>
        <family val="2"/>
      </rPr>
      <t xml:space="preserve">— </t>
    </r>
    <r>
      <rPr>
        <sz val="9"/>
        <rFont val="FONTASY_ HIMALI_ TT"/>
        <family val="5"/>
      </rPr>
      <t xml:space="preserve"> Ifdtf cg';f/ tf}n k'Ug] u/L </t>
    </r>
    <r>
      <rPr>
        <sz val="9"/>
        <rFont val="Arial"/>
        <family val="2"/>
      </rPr>
      <t>—</t>
    </r>
    <r>
      <rPr>
        <sz val="9"/>
        <rFont val="FONTASY_ HIMALI_ TT"/>
        <family val="5"/>
      </rPr>
      <t xml:space="preserve"> af]Sg ;Sg] ;fdfgx?, h:t}M l;d]G^, afn'jf, /f;folgs dn, bfp/f, vfBfGg, cflb_</t>
    </r>
  </si>
  <si>
    <t>प्रति के.जी. प्रति कोश</t>
  </si>
  <si>
    <t>प्रति टन प्रति कि.मि.</t>
  </si>
  <si>
    <t>प्रति क्विन्टल</t>
  </si>
  <si>
    <t>प्रति जाली/कि.मि.</t>
  </si>
  <si>
    <t>c;lhnf] ;fdfg</t>
  </si>
  <si>
    <t>;lhnf] ;fdfg</t>
  </si>
  <si>
    <t>प्लाइउड</t>
  </si>
  <si>
    <t>टिक प्लाइउड</t>
  </si>
  <si>
    <t>सिमेन्ट ब्लक</t>
  </si>
  <si>
    <t>इन्टरलकिङ ब्लक (फ्लोरिङको लागि)</t>
  </si>
  <si>
    <t>21% Cement Consumption @2.67% increase in cement price</t>
  </si>
  <si>
    <t>झो.पू.को लठ्ठा</t>
  </si>
  <si>
    <t>१. श्रमिकहरुको ज्याला दर सम्बन्धी</t>
  </si>
  <si>
    <t>२. ढुवानी दर सम्बन्धी</t>
  </si>
  <si>
    <t>8.1.1</t>
  </si>
  <si>
    <t>8.1.2</t>
  </si>
  <si>
    <t>8.1.3</t>
  </si>
  <si>
    <t>8.1.4</t>
  </si>
  <si>
    <t>8.1.5</t>
  </si>
  <si>
    <t>8.1.6</t>
  </si>
  <si>
    <t>8.1.7</t>
  </si>
  <si>
    <t>8.1.8</t>
  </si>
  <si>
    <t>8.1.9</t>
  </si>
  <si>
    <t>8.1.10</t>
  </si>
  <si>
    <t>8.1.11</t>
  </si>
  <si>
    <t>8.1.12</t>
  </si>
  <si>
    <t>8.1.13</t>
  </si>
  <si>
    <t>8.1.14</t>
  </si>
  <si>
    <t>8.1.15</t>
  </si>
  <si>
    <t>8.1.16</t>
  </si>
  <si>
    <t>8.1.17</t>
  </si>
  <si>
    <t>8.1.18</t>
  </si>
  <si>
    <t>8.1.19</t>
  </si>
  <si>
    <t>8.2.1</t>
  </si>
  <si>
    <t>8.2.2</t>
  </si>
  <si>
    <t>8.2.3</t>
  </si>
  <si>
    <t>8.2.4</t>
  </si>
  <si>
    <t>8.2.5</t>
  </si>
  <si>
    <t>8.2.6</t>
  </si>
  <si>
    <t>8.2.7</t>
  </si>
  <si>
    <t>8.2.8</t>
  </si>
  <si>
    <t>8.2.9</t>
  </si>
  <si>
    <t>8.2.10</t>
  </si>
  <si>
    <t>8.2.11</t>
  </si>
  <si>
    <t>8.2.12</t>
  </si>
  <si>
    <t>8.2.13</t>
  </si>
  <si>
    <t>8.2.14</t>
  </si>
  <si>
    <t>8.2.15</t>
  </si>
  <si>
    <t>8.2.16</t>
  </si>
  <si>
    <t>8.2.17</t>
  </si>
  <si>
    <t>8.2.18</t>
  </si>
  <si>
    <t>8.2.19</t>
  </si>
  <si>
    <t>8.3.1</t>
  </si>
  <si>
    <t>8.3.2</t>
  </si>
  <si>
    <t>8.3.3</t>
  </si>
  <si>
    <t>8.3.4</t>
  </si>
  <si>
    <t>8.3.5</t>
  </si>
  <si>
    <t>8.3.6</t>
  </si>
  <si>
    <t>8.3.7</t>
  </si>
  <si>
    <t>8.3.8</t>
  </si>
  <si>
    <t>8.3.9</t>
  </si>
  <si>
    <t>8.3.10</t>
  </si>
  <si>
    <t>8.3.11</t>
  </si>
  <si>
    <t>8.3.12</t>
  </si>
  <si>
    <t>8.3.13</t>
  </si>
  <si>
    <t>8.3.14</t>
  </si>
  <si>
    <t>8.3.15</t>
  </si>
  <si>
    <t>8.3.16</t>
  </si>
  <si>
    <t>8.3.17</t>
  </si>
  <si>
    <t>8.3.18</t>
  </si>
  <si>
    <t>8.3.19</t>
  </si>
  <si>
    <t>8.4.1</t>
  </si>
  <si>
    <t>8.4.2</t>
  </si>
  <si>
    <t>8.4.3</t>
  </si>
  <si>
    <t>8.5.1</t>
  </si>
  <si>
    <t>8.5.3</t>
  </si>
  <si>
    <t>8.5.2</t>
  </si>
  <si>
    <t>cuft</t>
  </si>
  <si>
    <r>
      <t>l;d]G^ s+lqm^ -cf/=l;=;L=_af^ lgld{t - em\ofn, (f]sf÷ e]N^Ln];gsf km|]dx? -</t>
    </r>
    <r>
      <rPr>
        <b/>
        <sz val="10"/>
        <rFont val="Times New Roman"/>
        <family val="1"/>
      </rPr>
      <t>size 4"x2.75" Concrete mix design- 1:1:1_ proportion &amp; 2 no of 7mmø Re-bar)</t>
    </r>
  </si>
  <si>
    <t>प्रचलित बजार भाउ</t>
  </si>
  <si>
    <t>गत आ.व.को रेट</t>
  </si>
  <si>
    <t>Roofing Works (Corrugated/Plain Fiber Glass Sheet)</t>
  </si>
  <si>
    <t>संख्या</t>
  </si>
  <si>
    <t>Fiber glass sheet छाउनको लागि Rivet</t>
  </si>
  <si>
    <t>1.1.1</t>
  </si>
  <si>
    <t>1.1.2</t>
  </si>
  <si>
    <t>1.1.3</t>
  </si>
  <si>
    <t>1.4.1</t>
  </si>
  <si>
    <t>1.4.2</t>
  </si>
  <si>
    <t>1.4.3</t>
  </si>
  <si>
    <t>1.4.4</t>
  </si>
  <si>
    <t>1.5.1</t>
  </si>
  <si>
    <t>1.5.2</t>
  </si>
  <si>
    <t>1.5.3</t>
  </si>
  <si>
    <t>1.6.1</t>
  </si>
  <si>
    <t>1.6.2</t>
  </si>
  <si>
    <t>1.10.1</t>
  </si>
  <si>
    <t>1.10.2</t>
  </si>
  <si>
    <t>1.11.1</t>
  </si>
  <si>
    <t>1.11.2</t>
  </si>
  <si>
    <t>1.13.1</t>
  </si>
  <si>
    <t>1.13.2</t>
  </si>
  <si>
    <t>1.13.3</t>
  </si>
  <si>
    <t>1.13.4</t>
  </si>
  <si>
    <t>1.14.1</t>
  </si>
  <si>
    <t>1.14.2</t>
  </si>
  <si>
    <t>1.16.1</t>
  </si>
  <si>
    <t>1.16.2</t>
  </si>
  <si>
    <t>सेट</t>
  </si>
  <si>
    <r>
      <t>l*h]n kDk;]^</t>
    </r>
    <r>
      <rPr>
        <sz val="10"/>
        <rFont val="Eras Light ITC"/>
        <family val="2"/>
      </rPr>
      <t xml:space="preserve">-  </t>
    </r>
    <r>
      <rPr>
        <sz val="11"/>
        <rFont val="Times New Roman"/>
        <family val="1"/>
      </rPr>
      <t>4x4"    5H.P.(water cool)</t>
    </r>
    <r>
      <rPr>
        <sz val="10"/>
        <rFont val="Arial"/>
        <family val="2"/>
      </rPr>
      <t xml:space="preserve"> </t>
    </r>
    <r>
      <rPr>
        <sz val="10"/>
        <rFont val="FONTASY_ HIMALI_ TT"/>
        <family val="5"/>
      </rPr>
      <t>jf ;f];/x</t>
    </r>
  </si>
  <si>
    <r>
      <t>l*h]n kDk;]^</t>
    </r>
    <r>
      <rPr>
        <sz val="10"/>
        <rFont val="Eras Light ITC"/>
        <family val="2"/>
      </rPr>
      <t xml:space="preserve">-  </t>
    </r>
    <r>
      <rPr>
        <sz val="10"/>
        <rFont val="Times New Roman"/>
        <family val="1"/>
      </rPr>
      <t>3x3"    5H.P (ISI)</t>
    </r>
  </si>
  <si>
    <r>
      <t>l*h]n kDk;]^</t>
    </r>
    <r>
      <rPr>
        <sz val="10"/>
        <rFont val="Eras Light ITC"/>
        <family val="2"/>
      </rPr>
      <t xml:space="preserve">-  </t>
    </r>
    <r>
      <rPr>
        <sz val="10"/>
        <rFont val="Times New Roman"/>
        <family val="1"/>
      </rPr>
      <t>3x3"    5H.P(air cool)</t>
    </r>
    <r>
      <rPr>
        <sz val="10"/>
        <rFont val="Arial"/>
        <family val="2"/>
      </rPr>
      <t>.</t>
    </r>
    <r>
      <rPr>
        <sz val="10"/>
        <rFont val="FONTASY_HIMALI_TT"/>
        <family val="5"/>
      </rPr>
      <t>jf ;f];/x</t>
    </r>
  </si>
  <si>
    <r>
      <t>ljB'lto df]^/ kDk;]^ -lqmnf]:s/ jf ;f] ;/x÷</t>
    </r>
    <r>
      <rPr>
        <sz val="10"/>
        <rFont val="Eras Light ITC"/>
        <family val="2"/>
      </rPr>
      <t xml:space="preserve"> </t>
    </r>
    <r>
      <rPr>
        <sz val="11"/>
        <rFont val="Times New Roman"/>
        <family val="1"/>
      </rPr>
      <t>2"x2"    1.5 H.P./ 1phase pump)</t>
    </r>
  </si>
  <si>
    <r>
      <t>ljB'lto df]^/ kDk;]^ -lqmnf]:s/ jf ;f] ;/x÷</t>
    </r>
    <r>
      <rPr>
        <sz val="10"/>
        <rFont val="Eras Light ITC"/>
        <family val="2"/>
      </rPr>
      <t xml:space="preserve"> </t>
    </r>
    <r>
      <rPr>
        <sz val="11"/>
        <rFont val="Times New Roman"/>
        <family val="1"/>
      </rPr>
      <t>3"x3"    2H.P./ 1phase pump)</t>
    </r>
  </si>
  <si>
    <r>
      <t>ljB'lto df]^/ kDk;]^ -lqmnf]:s/ jf ;f] ;/x÷</t>
    </r>
    <r>
      <rPr>
        <sz val="10"/>
        <rFont val="Eras Light ITC"/>
        <family val="2"/>
      </rPr>
      <t xml:space="preserve"> </t>
    </r>
    <r>
      <rPr>
        <sz val="11"/>
        <rFont val="Times New Roman"/>
        <family val="1"/>
      </rPr>
      <t>3"x3" 4"*4"   3H.P./ 1phase pump)</t>
    </r>
  </si>
  <si>
    <r>
      <t>ljB'lto df]^/ kDk;]^ -lqmnf]:s/ jf ;f] ;/x÷</t>
    </r>
    <r>
      <rPr>
        <sz val="10"/>
        <rFont val="Eras Light ITC"/>
        <family val="2"/>
      </rPr>
      <t xml:space="preserve"> </t>
    </r>
    <r>
      <rPr>
        <sz val="11"/>
        <rFont val="Times New Roman"/>
        <family val="1"/>
      </rPr>
      <t>4"*4"   5H.P./ 1phase pump)</t>
    </r>
  </si>
  <si>
    <r>
      <t>lk=lk=cf/= kfO{k -</t>
    </r>
    <r>
      <rPr>
        <b/>
        <sz val="10"/>
        <rFont val="Times New Roman"/>
        <family val="1"/>
      </rPr>
      <t>S-5.0, PN 10</t>
    </r>
    <r>
      <rPr>
        <b/>
        <sz val="10"/>
        <rFont val="FONTASY_ HIMALI_ TT"/>
        <family val="5"/>
      </rPr>
      <t>_</t>
    </r>
  </si>
  <si>
    <r>
      <t>lk=lk=cf/= kfO{k -</t>
    </r>
    <r>
      <rPr>
        <b/>
        <sz val="10"/>
        <rFont val="Times New Roman"/>
        <family val="1"/>
      </rPr>
      <t>S-3.2, PN 16</t>
    </r>
    <r>
      <rPr>
        <b/>
        <sz val="10"/>
        <rFont val="FONTASY_ HIMALI_ TT"/>
        <family val="5"/>
      </rPr>
      <t>_</t>
    </r>
  </si>
  <si>
    <r>
      <t>lk=lk=cf/= kfO{k -</t>
    </r>
    <r>
      <rPr>
        <b/>
        <sz val="10"/>
        <rFont val="Times New Roman"/>
        <family val="1"/>
      </rPr>
      <t>S-2.5, PN 20</t>
    </r>
    <r>
      <rPr>
        <b/>
        <sz val="10"/>
        <rFont val="FONTASY_ HIMALI_ TT"/>
        <family val="5"/>
      </rPr>
      <t>_</t>
    </r>
  </si>
  <si>
    <t>सि .आई. पाइप तथा फिटिङ्ग</t>
  </si>
  <si>
    <r>
      <t xml:space="preserve">;L= cfO{= kfOk      3æ </t>
    </r>
    <r>
      <rPr>
        <sz val="10"/>
        <rFont val="Times New Roman"/>
        <family val="1"/>
      </rPr>
      <t xml:space="preserve"> ø</t>
    </r>
  </si>
  <si>
    <t>एस.डब्लु. पाइप तथा फिटिङ्ग</t>
  </si>
  <si>
    <r>
      <t xml:space="preserve">P;= *an=" kfOk     4æ </t>
    </r>
    <r>
      <rPr>
        <sz val="10"/>
        <rFont val="Times New Roman"/>
        <family val="1"/>
      </rPr>
      <t>ø</t>
    </r>
  </si>
  <si>
    <t>प्रेसर रेटिङ्ग</t>
  </si>
  <si>
    <t>आ.व.२०८२।०८३ को दररेट</t>
  </si>
  <si>
    <t>साइज</t>
  </si>
  <si>
    <t>इकाइ</t>
  </si>
  <si>
    <t>७.५. खानेपानी सम्बन्धी फिटिङ्स</t>
  </si>
  <si>
    <t>पाइप</t>
  </si>
  <si>
    <t>फिटिङ्गस</t>
  </si>
  <si>
    <t>प्रति मि.</t>
  </si>
  <si>
    <t>आइटमको विवरण</t>
  </si>
  <si>
    <t>−</t>
  </si>
  <si>
    <t>Cyl</t>
  </si>
  <si>
    <t>पोइन्ट</t>
  </si>
  <si>
    <t>मि.</t>
  </si>
  <si>
    <t>कोइल</t>
  </si>
  <si>
    <t>नेपाल रबर</t>
  </si>
  <si>
    <t>स्पान</t>
  </si>
  <si>
    <t>रोल</t>
  </si>
  <si>
    <t>average</t>
  </si>
  <si>
    <r>
      <t xml:space="preserve">माइक्रो सिलिका </t>
    </r>
    <r>
      <rPr>
        <sz val="10"/>
        <rFont val="Times New Roman"/>
        <family val="1"/>
      </rPr>
      <t>(For High Performance ConcreteASTM C 1240-2005, IS 15388-2003)</t>
    </r>
  </si>
  <si>
    <t>Epoxy Bonding Agent for old and new construction</t>
  </si>
  <si>
    <t>काठमाडौबाट साभार २% मुल्य वृद्धी सहित</t>
  </si>
  <si>
    <t xml:space="preserve">Rust Remover &amp; Passivator </t>
  </si>
  <si>
    <t>Fast Setting Plugging Compound for Stopping Running Water System</t>
  </si>
  <si>
    <t>Integral Waterproofing Additive for Concrete and Plaster ASTM C 494, IS 2645-75 (Type G) , IS 9103-2007/IS 2645</t>
  </si>
  <si>
    <t xml:space="preserve">Integral Crystalline Waterproofing Liquid/Powder  Admixture STD Conformance :  ASTM C 494, IS 3085-1997, DIN 1048-1991 </t>
  </si>
  <si>
    <t>Bearing Plate</t>
  </si>
  <si>
    <t>रुपन्देहीबाट साभार २% मुल्यवृद्धी सहित</t>
  </si>
  <si>
    <t>९. लघू जलविद्यूत सम्बन्धी सामाग्री</t>
  </si>
  <si>
    <t>मु.अ.कर छुट</t>
  </si>
  <si>
    <t xml:space="preserve"> cf=a=
2079÷80 sf] :jLs[t b/ /]^</t>
  </si>
  <si>
    <t>सामाग्रीको विवरण</t>
  </si>
  <si>
    <t>३. भवन निर्माणमा प्रयोग हुने निर्माण सामाग्री</t>
  </si>
  <si>
    <t>४. फलामजन्य निर्माण सामाग्री</t>
  </si>
  <si>
    <t>Labor Input</t>
  </si>
  <si>
    <t>Increase in Price</t>
  </si>
  <si>
    <t>१०. विविध निर्माण सामाग्री</t>
  </si>
  <si>
    <t>१३. ग्लास फाइबर सम्बन्धी दररेट</t>
  </si>
  <si>
    <t>निर्माण सामाग्रीको विवरण</t>
  </si>
  <si>
    <t>आ.व. २०७९/०८१ को दररेट</t>
  </si>
  <si>
    <t>आ.व. २०८०/०८१ को दररेट</t>
  </si>
  <si>
    <t>आ.व. २०८१/०८२ को दररेट</t>
  </si>
  <si>
    <t>आ.व. २०८२/०८३ को दररेट</t>
  </si>
  <si>
    <t>पिस</t>
  </si>
  <si>
    <t>व.फि.</t>
  </si>
  <si>
    <t>आ.व. २०७९/०८० को दररेट</t>
  </si>
  <si>
    <t>काठमाडौ स्टिल</t>
  </si>
  <si>
    <t xml:space="preserve">Pistion rod </t>
  </si>
  <si>
    <t>Gland packing</t>
  </si>
  <si>
    <t>Swivel packing</t>
  </si>
  <si>
    <t>V.packing</t>
  </si>
  <si>
    <t xml:space="preserve">Valve/steel ball </t>
  </si>
  <si>
    <t xml:space="preserve">Valve seat </t>
  </si>
  <si>
    <t>Valve packing</t>
  </si>
  <si>
    <t>Sodium hexa metaphosphate</t>
  </si>
  <si>
    <t>Rod Hexa.meta</t>
  </si>
  <si>
    <t>रुपन्देही+दाङ्ग जिल्ला रेटबाट साभार</t>
  </si>
  <si>
    <t>दाङ्गबाट साभार गरीएको</t>
  </si>
  <si>
    <t>Alfa-Alfa Valve 6"</t>
  </si>
  <si>
    <t>Alfa-Alfa Valve 8"</t>
  </si>
  <si>
    <t>Butterfly Valve 6"</t>
  </si>
  <si>
    <t>Butterfly Valve 4"</t>
  </si>
  <si>
    <t>Butterfly Valve 5"</t>
  </si>
  <si>
    <t>Butterfly Valve 8"</t>
  </si>
  <si>
    <t>आ.व. २०८१ /०८२ को दररेट</t>
  </si>
  <si>
    <t>HDP pipe को चार्ट हटाइएको</t>
  </si>
  <si>
    <t>प्रति र.मि. दररेट</t>
  </si>
  <si>
    <t>प्रति सेट दररेट</t>
  </si>
  <si>
    <t>I-shaped Interlock Pavers</t>
  </si>
  <si>
    <t>S-lock Interlock Pavers</t>
  </si>
  <si>
    <t>Nostalgic Pavers</t>
  </si>
  <si>
    <t>Mixed Fusion Slab / Tiles</t>
  </si>
  <si>
    <t>Matrix Slab / Tiles</t>
  </si>
  <si>
    <t>Interlock With Cobble Pavers</t>
  </si>
  <si>
    <t>Cobble Interlock Pavers</t>
  </si>
  <si>
    <t>Square Interlock Pavers</t>
  </si>
  <si>
    <t>Romba 3D interlock Pavers</t>
  </si>
  <si>
    <t>Zigzag Interlock Pavers</t>
  </si>
  <si>
    <t>Uni Interlock Pavers</t>
  </si>
  <si>
    <t>Behaton Interlock I Pavers</t>
  </si>
  <si>
    <t>Rectangular Interlock Pavers</t>
  </si>
  <si>
    <t>Hexagon  Interlock Pavers</t>
  </si>
  <si>
    <t xml:space="preserve">Hollocon </t>
  </si>
  <si>
    <t>Half batterd Kerbstone</t>
  </si>
  <si>
    <t>Splayed kerb stone</t>
  </si>
  <si>
    <t>Bullnose Kerbstone</t>
  </si>
  <si>
    <t>V Shape Precast Drain</t>
  </si>
  <si>
    <t>LCG Screen Pipe</t>
  </si>
  <si>
    <t>दाङ्ग जिल्ला रेटबाट साभार</t>
  </si>
  <si>
    <t>MS Elbow</t>
  </si>
  <si>
    <t>MS TEE</t>
  </si>
  <si>
    <t>MS Bend</t>
  </si>
  <si>
    <t>कञचनपुरबाट साभार</t>
  </si>
  <si>
    <t xml:space="preserve">मेशिन, औजार तथा हेभी उपकरणको भाडादर सम्बन्धमा मेशिन प्रयोग गरी सडक निर्माण गर्दा वा अन्य कार्य गर्नु पर्दा डोजर, एक्जाभेटर, रोलर, ग्रेडर आदिको दर सडक विभागको नर्मस प्रयोग गरी हुन आउने प्रति घण्टाको भाडादर अनुसार कायम गर्ने निर्णय गरीयो । </t>
  </si>
  <si>
    <t>श्रमिकहरुको ज्याला दर सम्बन्धी</t>
  </si>
  <si>
    <t>ढुवानी दर सम्बन्धी</t>
  </si>
  <si>
    <t>Prestressing Anchorage Cone, Anchor Head and Live Wedges</t>
  </si>
  <si>
    <t>साइ बाट प्राप्त रेट</t>
  </si>
  <si>
    <t>Strip Seal Expansion Joint (50mm gap with frame and neoprene rubber seal)</t>
  </si>
  <si>
    <t>Slab Seal (320*50) (50mm gap with frame and neoprene rubber seal)</t>
  </si>
  <si>
    <r>
      <t xml:space="preserve">कालोपत्रे सडकमा रेखाङ्कन गर्न प्रयोग हुने </t>
    </r>
    <r>
      <rPr>
        <b/>
        <sz val="10"/>
        <rFont val="Times New Roman"/>
        <family val="1"/>
      </rPr>
      <t>Thermoplastic Road Marking</t>
    </r>
    <r>
      <rPr>
        <b/>
        <sz val="10"/>
        <rFont val="FONTASY_ HIMALI_ TT"/>
        <family val="5"/>
      </rPr>
      <t xml:space="preserve"> </t>
    </r>
    <r>
      <rPr>
        <b/>
        <sz val="10"/>
        <rFont val="Kalimati"/>
        <charset val="1"/>
      </rPr>
      <t>सामाग्री</t>
    </r>
  </si>
  <si>
    <t xml:space="preserve">१४. विद्यूतीय सोलार सम्बन्धी सामाग्रीहरुको दररेट </t>
  </si>
  <si>
    <t>१५ प्रिकास्ट कंक्रिट ब्लक, इन्टरब्लक, इटा तथा कर्ब स्टोनको दररेट</t>
  </si>
  <si>
    <t>1६.  सिंचाइ गेट तथा स्टिल स्ट्रक्चर कार्यको दररेट</t>
  </si>
  <si>
    <t xml:space="preserve">१२. हेभी मेशिन तथा उपकरणको भाडा सम्बन्धी             </t>
  </si>
  <si>
    <t>मेशिन / उपकरणको नाम</t>
  </si>
  <si>
    <t>पहिचानको विवरण</t>
  </si>
  <si>
    <t>क्षमता/वर्ग</t>
  </si>
  <si>
    <t>DoR कोड</t>
  </si>
  <si>
    <t>सडक विभागको दररेटलाई आधार मान्ने                                                                                                                                                        सडक विभागको दररेटलाई आधार मान्ने                                                                                                                                                                  सडक विभागको दररेटलाई आधार मान्ने</t>
  </si>
  <si>
    <t xml:space="preserve">8 m </t>
  </si>
  <si>
    <t xml:space="preserve">9 m </t>
  </si>
  <si>
    <t xml:space="preserve">11 m </t>
  </si>
  <si>
    <t>नेपाली थिनर</t>
  </si>
  <si>
    <t>रेड अक्साइड पेन्ट</t>
  </si>
  <si>
    <t>गेरु रंग</t>
  </si>
  <si>
    <t>प्लास्टिक इमल्सन पेन्ट (Interior)</t>
  </si>
  <si>
    <t>वेदरकोट पेन्ट (Exterior)</t>
  </si>
  <si>
    <t>Redoxide Zink Cromate Primer for Bridge</t>
  </si>
  <si>
    <t>Exterior Primer</t>
  </si>
  <si>
    <t>Interior Primer</t>
  </si>
  <si>
    <t>Anti Bacterial Hospital Paint</t>
  </si>
  <si>
    <t>Heat Reflecting Energy Saving Insulation Paint</t>
  </si>
  <si>
    <t>Weather Coat Paints</t>
  </si>
  <si>
    <t>ExterShield Premium</t>
  </si>
  <si>
    <t>ExterShield Smooth</t>
  </si>
  <si>
    <t>ExterShield Standard</t>
  </si>
  <si>
    <t>Emulsion Paints/Distemper</t>
  </si>
  <si>
    <t>Int. Emulsion</t>
  </si>
  <si>
    <t>Water Seal Strech (Damp Coat)</t>
  </si>
  <si>
    <t>Premium Emulsion</t>
  </si>
  <si>
    <t>Smooth Emulsion</t>
  </si>
  <si>
    <t>Standard Emulsion</t>
  </si>
  <si>
    <t>लि.</t>
  </si>
  <si>
    <t>सडक तथा पुल निर्माणमा प्रयोग हुने निर्माण सामाग्री</t>
  </si>
  <si>
    <t xml:space="preserve">रङ्ग रोगन सम्बन्धी सामाग्री </t>
  </si>
  <si>
    <t>७. खानेपानी तथा सरसफाई सम्बन्धी सामाग्री</t>
  </si>
  <si>
    <t>खानेपानी तथा सरसफाई सम्बन्धी सामाग्री</t>
  </si>
  <si>
    <t>यु.पि.भि.सी. पाइप (NS-206/046)</t>
  </si>
  <si>
    <t xml:space="preserve">पी.पी. आर फिटिङ्गस </t>
  </si>
  <si>
    <r>
      <rPr>
        <b/>
        <sz val="16"/>
        <rFont val="Kalimati"/>
        <charset val="1"/>
      </rPr>
      <t xml:space="preserve">७.४. </t>
    </r>
    <r>
      <rPr>
        <b/>
        <sz val="14"/>
        <rFont val="Kalimati"/>
        <charset val="1"/>
      </rPr>
      <t>U-PVC SWR फिटिङ्गस</t>
    </r>
  </si>
  <si>
    <t>U-PVC SWR फिटिङ्गस</t>
  </si>
  <si>
    <t>खानेपानी सम्बन्धी फिटिङ्स</t>
  </si>
  <si>
    <t>ईनार तथा ट्यूववेल सम्बन्धी</t>
  </si>
  <si>
    <t xml:space="preserve">विद्यूतीकरण सम्बन्धी समाग्री </t>
  </si>
  <si>
    <t xml:space="preserve">८. विद्यूतीकरण सम्बन्धी समाग्री </t>
  </si>
  <si>
    <t xml:space="preserve">हेभी मेशिन तथा उपकरणको भाडा सम्बन्धी     </t>
  </si>
  <si>
    <t>विद्यूतीय सोलार सम्बन्धी सामाग्रीहरु</t>
  </si>
  <si>
    <t>प्रिकास्ट कंक्रिट ब्लक, इन्टरब्लक, इटा तथा कर्ब स्टोन</t>
  </si>
  <si>
    <t>सिंचाइ गेट तथा स्टिल स्ट्रक्चर</t>
  </si>
  <si>
    <t>झोलुङ्गे पुलको निर्माण सामाग्रीहरुको दररेटको हकमा श्री शहरी विकास मन्त्रालय अन्तरगतको स्थानीय पूर्वाधार विकास विभागको वेबसाइट www.nepaltrailbridges.gov.np को Reference Rate लाई आधार मान्न सकिने ।</t>
  </si>
  <si>
    <t xml:space="preserve"> ACSR Conductor (wire)</t>
  </si>
  <si>
    <t>0.03sq inch ACSR Conductor (wire)</t>
  </si>
  <si>
    <t>0.05sq inch ACSR Conductor (wire)</t>
  </si>
  <si>
    <t>0.1sq inch ACSR Conductor (wire)</t>
  </si>
  <si>
    <t>11 KV Drop Out Fuse Set</t>
  </si>
  <si>
    <t>Earthing Rod (copper coated) with earthing clamp</t>
  </si>
  <si>
    <t>NEA Rate 81/82</t>
  </si>
  <si>
    <t>Copper Earthing Wire 10 Sq.mm</t>
  </si>
  <si>
    <t>Kathmandu District Rate 81/82</t>
  </si>
  <si>
    <t>36" Ceiling Fan</t>
  </si>
  <si>
    <t>48" Ceiling Fan</t>
  </si>
  <si>
    <t>56" Ceiling Fan</t>
  </si>
  <si>
    <t>6" exhaust fan Usha or eqvt.</t>
  </si>
  <si>
    <t>H) Supply of Aluminium ABC Cable</t>
  </si>
  <si>
    <t>25mm square 4 core ABC Cable</t>
  </si>
  <si>
    <t>50mm square 4 core ABC Cable</t>
  </si>
  <si>
    <t>95mm square 4 core ABC Cable</t>
  </si>
  <si>
    <t>ELECTRICAL WORKS (Supply and fitting )</t>
  </si>
  <si>
    <t>11 KV pin insulator with spindle</t>
  </si>
  <si>
    <t xml:space="preserve">Kathmandu </t>
  </si>
  <si>
    <t>NEA</t>
  </si>
  <si>
    <t>Rupandehi</t>
  </si>
  <si>
    <t>D-iron with shackel insulator</t>
  </si>
  <si>
    <t xml:space="preserve">11 KV Disc Insulator with Grapher </t>
  </si>
  <si>
    <t>11 KV Pin Insulator</t>
  </si>
  <si>
    <t>कि.मि.</t>
  </si>
  <si>
    <t>प्र.हे.</t>
  </si>
  <si>
    <t>Unit</t>
  </si>
  <si>
    <t>Multistand flexible wire for house wiring (90m per coil) NS marked Eqv</t>
  </si>
  <si>
    <t>Pole Clamp PC1</t>
  </si>
  <si>
    <t>Pole Clamp PC2</t>
  </si>
  <si>
    <t>100X50X50X6X300mm Galvanized Channel</t>
  </si>
  <si>
    <t>100X50X50X6X1200mm Galvanized Channel</t>
  </si>
  <si>
    <t>100X50X50X6X2390mm Galvanized Channel</t>
  </si>
  <si>
    <t>100X50X50X6X1500mm Galvanized T-Channel</t>
  </si>
  <si>
    <t>100x50x50x6x1900 mm offset Channel</t>
  </si>
  <si>
    <t>100 square mm XLPE Covered Conductor</t>
  </si>
  <si>
    <t>55 square mm XLPE Covered Conductor</t>
  </si>
  <si>
    <t xml:space="preserve">150 square mm Wolf Conductor </t>
  </si>
  <si>
    <t>Solar Modulars (Vikram,Andromeda or euivalent )</t>
  </si>
  <si>
    <t>Nepal B&amp;B</t>
  </si>
  <si>
    <t>Harsit Exims</t>
  </si>
  <si>
    <t>Kathmandu</t>
  </si>
  <si>
    <t>Sqft</t>
  </si>
  <si>
    <t>Sqm</t>
  </si>
  <si>
    <r>
      <t xml:space="preserve">32 ld=ld=sf] jf^/k|"km -lzv/ </t>
    </r>
    <r>
      <rPr>
        <sz val="10"/>
        <rFont val="Kalimati"/>
        <charset val="1"/>
      </rPr>
      <t>वा सो सरह</t>
    </r>
    <r>
      <rPr>
        <sz val="10"/>
        <rFont val="FONTASY_ HIMALI_ TT"/>
        <family val="5"/>
      </rPr>
      <t>_ vfkfsf] nflu</t>
    </r>
  </si>
  <si>
    <r>
      <t xml:space="preserve">12 ld=ld=sf] jf^/ k||'km - lzv/ </t>
    </r>
    <r>
      <rPr>
        <sz val="10"/>
        <rFont val="Kalimati"/>
        <charset val="1"/>
      </rPr>
      <t>वा सो सरह</t>
    </r>
    <r>
      <rPr>
        <sz val="10"/>
        <rFont val="FONTASY_ HIMALI_ TT"/>
        <family val="5"/>
      </rPr>
      <t>_</t>
    </r>
  </si>
  <si>
    <r>
      <t xml:space="preserve">32 ld=ld=sf] jf^/k|"km -lzv/ </t>
    </r>
    <r>
      <rPr>
        <sz val="10"/>
        <rFont val="Kalimati"/>
        <charset val="1"/>
      </rPr>
      <t>वा सो सरह</t>
    </r>
    <r>
      <rPr>
        <sz val="10"/>
        <rFont val="FONTASY_ HIMALI_ TT"/>
        <family val="5"/>
      </rPr>
      <t>_ vfkfsf] nflu l^s ;lxt</t>
    </r>
  </si>
  <si>
    <t>12 ld=ld= -lzv/ jf ;f] eGbf dfyL_</t>
  </si>
  <si>
    <t>१९ मि.मि. साधारण (शिखर वा सो सरह)</t>
  </si>
  <si>
    <t>१९ मि.मि. वाटरप्रुफ (शिखर वा सो सरह)</t>
  </si>
  <si>
    <t>per Sft</t>
  </si>
  <si>
    <t xml:space="preserve">Rupandehi </t>
  </si>
  <si>
    <r>
      <t xml:space="preserve">18 ld=ld= </t>
    </r>
    <r>
      <rPr>
        <sz val="10"/>
        <rFont val="Kalimati"/>
        <charset val="1"/>
      </rPr>
      <t>वाटरप्रुफ (शिखर वा सो सरह)</t>
    </r>
  </si>
  <si>
    <t>% Diff wrt Kath</t>
  </si>
  <si>
    <t>% diff wrt Rup</t>
  </si>
  <si>
    <t>Kapilvastu</t>
  </si>
  <si>
    <t>2.67% increase</t>
  </si>
  <si>
    <r>
      <t>lr/fg kfOln</t>
    </r>
    <r>
      <rPr>
        <sz val="10"/>
        <rFont val="Preeti"/>
      </rPr>
      <t>Î</t>
    </r>
  </si>
  <si>
    <r>
      <t>ldndf uf]lnof l;kd]G^ -#f^ub\bLaf^ nf]l*</t>
    </r>
    <r>
      <rPr>
        <sz val="10"/>
        <rFont val="Preeti"/>
      </rPr>
      <t>ª_</t>
    </r>
    <r>
      <rPr>
        <sz val="10"/>
        <rFont val="FONTASY_ HIMALI_ TT"/>
        <family val="5"/>
      </rPr>
      <t xml:space="preserve"> </t>
    </r>
  </si>
  <si>
    <r>
      <t>ldndf uf]lnof l;kd]G^ -#f^ub\bLaf^ cgnf]l*</t>
    </r>
    <r>
      <rPr>
        <sz val="10"/>
        <rFont val="Preeti"/>
      </rPr>
      <t>ª_</t>
    </r>
    <r>
      <rPr>
        <sz val="10"/>
        <rFont val="FONTASY_ HIMALI_ TT"/>
        <family val="5"/>
      </rPr>
      <t xml:space="preserve"> </t>
    </r>
  </si>
  <si>
    <r>
      <t>v_ 20</t>
    </r>
    <r>
      <rPr>
        <sz val="9"/>
        <rFont val="Times New Roman"/>
        <family val="1"/>
      </rPr>
      <t>X</t>
    </r>
    <r>
      <rPr>
        <sz val="9"/>
        <rFont val="FONTASY_ HIMALI_ TT"/>
        <family val="5"/>
      </rPr>
      <t>5</t>
    </r>
    <r>
      <rPr>
        <sz val="9"/>
        <rFont val="Times New Roman"/>
        <family val="1"/>
      </rPr>
      <t>X</t>
    </r>
    <r>
      <rPr>
        <sz val="9"/>
        <rFont val="FONTASY_ HIMALI_ TT"/>
        <family val="5"/>
      </rPr>
      <t>5 lkm^ ;fOhsf] bfp/f ofl*{</t>
    </r>
    <r>
      <rPr>
        <sz val="9"/>
        <rFont val="Preeti"/>
      </rPr>
      <t>ª</t>
    </r>
  </si>
  <si>
    <t xml:space="preserve">आज मिति २०८२ साल असार २८ गते शुक्रबारका दिन दिनको २:०० बजे नवलपरासी (ब.सु.प.) जिल्लाका प्रमुख जिल्ला अधिकारी श्री हिरालाल रेग्मी ज्यूको अध्यक्षतामा आ.व.२०८२/०८३ को लागि निर्माण सामाग्री र ढुवानीको दररेट, मेशिन तथा उपकरणको भाडा र श्रमिकहरुको ज्यालादर निर्धारण गर्न सार्वजनिक खरिद नियमावली, २०६४ को नियम १४८ अनुसार जिल्ला दररेट निर्धारण समितिको बैठक देहायका पदाधिकारीहरुको उपस्थितीमा बसी देहाय बमोजिमको निर्णय गरीयो । </t>
  </si>
  <si>
    <t>जिल्ला दररेट निर्धारण समितिबाट</t>
  </si>
  <si>
    <r>
      <t xml:space="preserve">Hexagon  Interlock Pavers Grey Color with compressive strength </t>
    </r>
    <r>
      <rPr>
        <b/>
        <sz val="12"/>
        <rFont val="Times New Roman"/>
        <family val="1"/>
      </rPr>
      <t xml:space="preserve">M40or above. Thickness: 80mm, Dimension: 234*203*80 (NS Standard) </t>
    </r>
  </si>
  <si>
    <r>
      <t xml:space="preserve">Hexagon  Interlock Pavers Single Color with compressive strength </t>
    </r>
    <r>
      <rPr>
        <b/>
        <sz val="12"/>
        <rFont val="Times New Roman"/>
        <family val="1"/>
      </rPr>
      <t xml:space="preserve">M40 or above. Thickness: 80mm, Dimension: 234*203*80 (NS Standard) </t>
    </r>
  </si>
  <si>
    <r>
      <t xml:space="preserve">Hexagon  Interlock Pavers Blended Color with compressive strength </t>
    </r>
    <r>
      <rPr>
        <b/>
        <sz val="12"/>
        <rFont val="Times New Roman"/>
        <family val="1"/>
      </rPr>
      <t xml:space="preserve">M40 or above. Thickness: 80mm, Dimension: 234*203*80 (NS Standard) </t>
    </r>
  </si>
  <si>
    <r>
      <t xml:space="preserve">Hexagon  Interlock Pavers Single Color with compressive strength </t>
    </r>
    <r>
      <rPr>
        <b/>
        <sz val="12"/>
        <rFont val="Times New Roman"/>
        <family val="1"/>
      </rPr>
      <t xml:space="preserve">M30 or above. Thickness: 50mm, Dimension: 226*200*50 (NS Standard) </t>
    </r>
  </si>
  <si>
    <r>
      <t xml:space="preserve">Hexagon  Interlock Pavers Blended Color with compressive strength </t>
    </r>
    <r>
      <rPr>
        <b/>
        <sz val="12"/>
        <rFont val="Times New Roman"/>
        <family val="1"/>
      </rPr>
      <t xml:space="preserve">M30 or above. Thickness: 50mm, Dimension: 226*200*50 (NS Standard) </t>
    </r>
  </si>
  <si>
    <r>
      <t xml:space="preserve">Hexagon  Interlock Pavers Grey Color with compressive strength </t>
    </r>
    <r>
      <rPr>
        <b/>
        <sz val="12"/>
        <rFont val="Times New Roman"/>
        <family val="1"/>
      </rPr>
      <t xml:space="preserve">M35 or above. Thickness: 50mm, Dimension: 226*200*50 (NS Standard) </t>
    </r>
  </si>
  <si>
    <r>
      <t xml:space="preserve">Hexagon  Interlock Pavers Single Color with compressive strength </t>
    </r>
    <r>
      <rPr>
        <b/>
        <sz val="12"/>
        <rFont val="Times New Roman"/>
        <family val="1"/>
      </rPr>
      <t>M35 or above. Thickness: 50mm, Dimension: 226*200*50 (NS Standard)</t>
    </r>
    <r>
      <rPr>
        <sz val="12"/>
        <rFont val="Times New Roman"/>
        <family val="1"/>
      </rPr>
      <t xml:space="preserve"> </t>
    </r>
  </si>
  <si>
    <r>
      <t xml:space="preserve">Hexagon  Interlock Pavers Blended Color with compressive strength </t>
    </r>
    <r>
      <rPr>
        <b/>
        <sz val="12"/>
        <rFont val="Times New Roman"/>
        <family val="1"/>
      </rPr>
      <t xml:space="preserve">M35 or above. Thickness: 50mm, Dimension: 226*200*50 (NS Standard) </t>
    </r>
  </si>
  <si>
    <r>
      <t xml:space="preserve">Half batterd Kerbstone  Grey Color with compressive strength </t>
    </r>
    <r>
      <rPr>
        <b/>
        <sz val="12"/>
        <rFont val="Times New Roman"/>
        <family val="1"/>
      </rPr>
      <t>M20. Thickness: 200mm, Dimension: 250*200*380 (LxBxH) (NS Standard)</t>
    </r>
  </si>
  <si>
    <r>
      <t xml:space="preserve">Half batterd Kerbstone  Grey Color with compressive strength </t>
    </r>
    <r>
      <rPr>
        <b/>
        <sz val="12"/>
        <rFont val="Times New Roman"/>
        <family val="1"/>
      </rPr>
      <t>M25. Thickness: 200mm, Dimension: 250*200*380 (LxBxH) (NS Standard)</t>
    </r>
  </si>
  <si>
    <r>
      <t xml:space="preserve">Half batterd Kerbstone Grey Color with compressive strength </t>
    </r>
    <r>
      <rPr>
        <b/>
        <sz val="12"/>
        <rFont val="Times New Roman"/>
        <family val="1"/>
      </rPr>
      <t>M25. Thickness/ Breadth: 165mm, Dimension:300*165*325 (LxBxH) (NS Standard)</t>
    </r>
  </si>
  <si>
    <r>
      <t xml:space="preserve">Half batterd Kerbstone Grey Color with compressive strength </t>
    </r>
    <r>
      <rPr>
        <b/>
        <sz val="12"/>
        <rFont val="Times New Roman"/>
        <family val="1"/>
      </rPr>
      <t>M20. Thickness/ Breadth: 165mm, Dimension:300*165*325 (LxBxH) (NS Standard)</t>
    </r>
  </si>
  <si>
    <r>
      <t xml:space="preserve">Half batterd Kerbstone Grey Color with compressive strength </t>
    </r>
    <r>
      <rPr>
        <b/>
        <sz val="12"/>
        <rFont val="Times New Roman"/>
        <family val="1"/>
      </rPr>
      <t>M25. Thickness: 200mm, Dimension:300*200*350 (LxBxH) (NS Standard)</t>
    </r>
  </si>
  <si>
    <r>
      <t xml:space="preserve">Half batterd Kerbstone Grey Color with compressive strength </t>
    </r>
    <r>
      <rPr>
        <b/>
        <sz val="12"/>
        <rFont val="Times New Roman"/>
        <family val="1"/>
      </rPr>
      <t>M20. Thickness: 200mm, Dimension:300*200*350 (LxBxH) (NS Standard)</t>
    </r>
  </si>
  <si>
    <r>
      <t xml:space="preserve">S-lock Interlock Pavers Blended colour with Compressive Strength </t>
    </r>
    <r>
      <rPr>
        <b/>
        <sz val="12"/>
        <rFont val="Times New Roman"/>
        <family val="1"/>
      </rPr>
      <t>M35 or above. Thickness 60mm. Dimension 236*100*60mm</t>
    </r>
  </si>
  <si>
    <r>
      <t xml:space="preserve">S-lock Interlock Pavers Single colour with Compressive Strength </t>
    </r>
    <r>
      <rPr>
        <b/>
        <sz val="12"/>
        <rFont val="Times New Roman"/>
        <family val="1"/>
      </rPr>
      <t>M35 or above. Thickness 60mm. Dimension 236*100*60mm</t>
    </r>
  </si>
  <si>
    <r>
      <t xml:space="preserve">S-lock Interlock Pavers Gray colour with Compressive Strength </t>
    </r>
    <r>
      <rPr>
        <b/>
        <sz val="12"/>
        <rFont val="Times New Roman"/>
        <family val="1"/>
      </rPr>
      <t>M35 or above. Thickness 60mm. Dimension 236*100*60mm</t>
    </r>
  </si>
  <si>
    <r>
      <t xml:space="preserve">I-shaped Interlock Pavers Blended colour with Compressive Strength </t>
    </r>
    <r>
      <rPr>
        <b/>
        <sz val="12"/>
        <rFont val="Times New Roman"/>
        <family val="1"/>
      </rPr>
      <t>M35 or above. Thickness 60mm. Dimension 200*160*60</t>
    </r>
  </si>
  <si>
    <r>
      <t xml:space="preserve">I-shaped Interlock Pavers Single colour with Compressive Strength </t>
    </r>
    <r>
      <rPr>
        <b/>
        <sz val="12"/>
        <rFont val="Times New Roman"/>
        <family val="1"/>
      </rPr>
      <t>M35 or above. Thickness 60mm. Dimension 200*160*60mm</t>
    </r>
  </si>
  <si>
    <r>
      <t xml:space="preserve">I-shaped Interlock Pavers Gray colour with Compressive Strength </t>
    </r>
    <r>
      <rPr>
        <b/>
        <sz val="12"/>
        <rFont val="Times New Roman"/>
        <family val="1"/>
      </rPr>
      <t>M35 or above. Thickness 60mm. Dimension 200*160*60mm</t>
    </r>
  </si>
  <si>
    <r>
      <t xml:space="preserve">Nostalgic Pavers Grey Color with compressive strength </t>
    </r>
    <r>
      <rPr>
        <b/>
        <sz val="12"/>
        <rFont val="Times New Roman"/>
        <family val="1"/>
      </rPr>
      <t>M35 or above. Thickness: 60mm, Dimension:1140x960x60mm</t>
    </r>
    <r>
      <rPr>
        <sz val="12"/>
        <rFont val="Times New Roman"/>
        <family val="1"/>
      </rPr>
      <t>/ Pallet (NS Standard)</t>
    </r>
  </si>
  <si>
    <r>
      <t xml:space="preserve">Nostalgic Pavers Single Color with compressive strength </t>
    </r>
    <r>
      <rPr>
        <b/>
        <sz val="12"/>
        <rFont val="Times New Roman"/>
        <family val="1"/>
      </rPr>
      <t>M35 or above. Thickness: 60mm, Dimension:1140x960x60mm</t>
    </r>
    <r>
      <rPr>
        <sz val="12"/>
        <rFont val="Times New Roman"/>
        <family val="1"/>
      </rPr>
      <t>/ Pallet (NS Standard)</t>
    </r>
  </si>
  <si>
    <r>
      <t xml:space="preserve">Nostalgic Pavers Blended Color with compressive strength </t>
    </r>
    <r>
      <rPr>
        <b/>
        <sz val="12"/>
        <rFont val="Times New Roman"/>
        <family val="1"/>
      </rPr>
      <t>M35 or above. Thickness: 60mm, Dimension:1140x960x60mm</t>
    </r>
    <r>
      <rPr>
        <sz val="12"/>
        <rFont val="Times New Roman"/>
        <family val="1"/>
      </rPr>
      <t>/ Pallet (NS Standard)</t>
    </r>
  </si>
  <si>
    <r>
      <t xml:space="preserve">Grass Interlock Pavers Grey Color with compressive strength </t>
    </r>
    <r>
      <rPr>
        <b/>
        <sz val="12"/>
        <rFont val="Times New Roman"/>
        <family val="1"/>
      </rPr>
      <t>M40 or above. Thickness: 80mm, Dimension:400x600x80mm</t>
    </r>
    <r>
      <rPr>
        <sz val="12"/>
        <rFont val="Times New Roman"/>
        <family val="1"/>
      </rPr>
      <t xml:space="preserve"> (NS Standard)</t>
    </r>
  </si>
  <si>
    <r>
      <t xml:space="preserve">Mixed Fusion Slab / Tiles Grey Color with compressive strength </t>
    </r>
    <r>
      <rPr>
        <b/>
        <sz val="12"/>
        <rFont val="Times New Roman"/>
        <family val="1"/>
      </rPr>
      <t>M35 or above. (Specification: Thickness: 40mm, Dimension:1200*800*40</t>
    </r>
    <r>
      <rPr>
        <sz val="12"/>
        <rFont val="Times New Roman"/>
        <family val="1"/>
      </rPr>
      <t>, Tolerance/others:±1mm Variance in thickness, Proper Interlock Grooves &amp; Pigment Color, Water absorption &lt;6%)</t>
    </r>
  </si>
  <si>
    <r>
      <t xml:space="preserve">Mixed Fusion Slab / Tiles Single Color with compressive strength </t>
    </r>
    <r>
      <rPr>
        <b/>
        <sz val="12"/>
        <rFont val="Times New Roman"/>
        <family val="1"/>
      </rPr>
      <t>M35 or above. (Specification: Thickness: 40mm, Dimension:1200*800*40</t>
    </r>
    <r>
      <rPr>
        <sz val="12"/>
        <rFont val="Times New Roman"/>
        <family val="1"/>
      </rPr>
      <t>, Tolerance/others:±1mm Variance in thickness, Proper Interlock Grooves &amp; Pigment Color, Water absorption &lt;6%)</t>
    </r>
  </si>
  <si>
    <r>
      <t xml:space="preserve">Mixed Fusion Slab / Tiles Blended Color with compressive strength </t>
    </r>
    <r>
      <rPr>
        <b/>
        <sz val="12"/>
        <rFont val="Times New Roman"/>
        <family val="1"/>
      </rPr>
      <t>M35 or above. (Specification: Thickness: 40mm, Dimension:1200*800*40</t>
    </r>
    <r>
      <rPr>
        <sz val="12"/>
        <rFont val="Times New Roman"/>
        <family val="1"/>
      </rPr>
      <t>, Tolerance/others:±1mm Variance in thickness, Proper Interlock Grooves &amp; Pigment Color, Water absorption &lt;6%)</t>
    </r>
  </si>
  <si>
    <r>
      <t xml:space="preserve">Cobble Interlock Pavers Blended Color with compressive strength </t>
    </r>
    <r>
      <rPr>
        <b/>
        <sz val="12"/>
        <rFont val="Times New Roman"/>
        <family val="1"/>
      </rPr>
      <t>M35 or above. Thickness: 60mm, Dimension:100*100*60</t>
    </r>
    <r>
      <rPr>
        <sz val="12"/>
        <rFont val="Times New Roman"/>
        <family val="1"/>
      </rPr>
      <t xml:space="preserve"> (NS Standard)</t>
    </r>
  </si>
  <si>
    <r>
      <t xml:space="preserve">Interlock Pavers Grey Color with compressive strength </t>
    </r>
    <r>
      <rPr>
        <b/>
        <sz val="12"/>
        <rFont val="Times New Roman"/>
        <family val="1"/>
      </rPr>
      <t>M35 or above. Thickness: 60mm, Dimension:200*200*60</t>
    </r>
    <r>
      <rPr>
        <sz val="12"/>
        <rFont val="Times New Roman"/>
        <family val="1"/>
      </rPr>
      <t xml:space="preserve"> (NS Standard)</t>
    </r>
  </si>
  <si>
    <r>
      <t xml:space="preserve">Interlock Pavers Single Color with compressive strength </t>
    </r>
    <r>
      <rPr>
        <b/>
        <sz val="12"/>
        <rFont val="Times New Roman"/>
        <family val="1"/>
      </rPr>
      <t>M35 or above. Thickness: 60mm, Dimension:200*200*60</t>
    </r>
    <r>
      <rPr>
        <sz val="12"/>
        <rFont val="Times New Roman"/>
        <family val="1"/>
      </rPr>
      <t xml:space="preserve"> (NS Standard)</t>
    </r>
  </si>
  <si>
    <r>
      <t xml:space="preserve">Interlock Pavers Blended Color with compressive strength </t>
    </r>
    <r>
      <rPr>
        <b/>
        <sz val="12"/>
        <rFont val="Times New Roman"/>
        <family val="1"/>
      </rPr>
      <t>M35 or above. Thickness: 60mm, Dimension:200*200*60</t>
    </r>
    <r>
      <rPr>
        <sz val="12"/>
        <rFont val="Times New Roman"/>
        <family val="1"/>
      </rPr>
      <t xml:space="preserve"> (NS Standard)</t>
    </r>
  </si>
  <si>
    <r>
      <t xml:space="preserve">Cobble Interlock Pavers Single Color with compressive strength </t>
    </r>
    <r>
      <rPr>
        <b/>
        <sz val="12"/>
        <rFont val="Times New Roman"/>
        <family val="1"/>
      </rPr>
      <t>M35 or above. Thickness: 60mm, Dimension:100*100*60</t>
    </r>
    <r>
      <rPr>
        <sz val="12"/>
        <rFont val="Times New Roman"/>
        <family val="1"/>
      </rPr>
      <t xml:space="preserve"> (NS Standard)</t>
    </r>
  </si>
  <si>
    <r>
      <t xml:space="preserve">Cobble Interlock Pavers Grey Color with compressive strength </t>
    </r>
    <r>
      <rPr>
        <b/>
        <sz val="12"/>
        <rFont val="Times New Roman"/>
        <family val="1"/>
      </rPr>
      <t>M35 or above. Thickness: 60mm, Dimension:100*100*60</t>
    </r>
    <r>
      <rPr>
        <sz val="12"/>
        <rFont val="Times New Roman"/>
        <family val="1"/>
      </rPr>
      <t xml:space="preserve"> (NS Standard)</t>
    </r>
  </si>
  <si>
    <r>
      <t xml:space="preserve">Square Interlock Pavers Blended Color with compressive strength </t>
    </r>
    <r>
      <rPr>
        <b/>
        <sz val="12"/>
        <rFont val="Times New Roman"/>
        <family val="1"/>
      </rPr>
      <t>M30 or above. Thickness: 50mm, Dimension:200*200*50</t>
    </r>
    <r>
      <rPr>
        <sz val="12"/>
        <rFont val="Times New Roman"/>
        <family val="1"/>
      </rPr>
      <t xml:space="preserve"> (NS Standard)</t>
    </r>
  </si>
  <si>
    <r>
      <t xml:space="preserve">Square Interlock Pavers Grey Color with compressive strength </t>
    </r>
    <r>
      <rPr>
        <b/>
        <sz val="12"/>
        <rFont val="Times New Roman"/>
        <family val="1"/>
      </rPr>
      <t>M35 or above. Thickness: 60mm, Dimension:200*200*60</t>
    </r>
    <r>
      <rPr>
        <sz val="12"/>
        <rFont val="Times New Roman"/>
        <family val="1"/>
      </rPr>
      <t xml:space="preserve"> (NS Standard)</t>
    </r>
  </si>
  <si>
    <r>
      <t xml:space="preserve">Square Interlock Pavers Single Color with compressive strength </t>
    </r>
    <r>
      <rPr>
        <b/>
        <sz val="12"/>
        <rFont val="Times New Roman"/>
        <family val="1"/>
      </rPr>
      <t>M35 or above. Thickness: 60mm, Dimension:200*200*60</t>
    </r>
    <r>
      <rPr>
        <sz val="12"/>
        <rFont val="Times New Roman"/>
        <family val="1"/>
      </rPr>
      <t xml:space="preserve"> (NS Standard)</t>
    </r>
  </si>
  <si>
    <r>
      <t xml:space="preserve">Square Interlock Pavers Blended Color with compressive strength </t>
    </r>
    <r>
      <rPr>
        <b/>
        <sz val="12"/>
        <rFont val="Times New Roman"/>
        <family val="1"/>
      </rPr>
      <t>M35 or above. Thickness: 60mm, Dimension:200*200*60</t>
    </r>
    <r>
      <rPr>
        <sz val="12"/>
        <rFont val="Times New Roman"/>
        <family val="1"/>
      </rPr>
      <t xml:space="preserve"> (NS Standard)</t>
    </r>
  </si>
  <si>
    <r>
      <t xml:space="preserve">Square Interlock Pavers Grey Color with compressive strength </t>
    </r>
    <r>
      <rPr>
        <b/>
        <sz val="12"/>
        <rFont val="Times New Roman"/>
        <family val="1"/>
      </rPr>
      <t>M30 or above. Thickness: 50mm, Dimension:200*200*50</t>
    </r>
    <r>
      <rPr>
        <sz val="12"/>
        <rFont val="Times New Roman"/>
        <family val="1"/>
      </rPr>
      <t>(NS Standard)</t>
    </r>
  </si>
  <si>
    <r>
      <t xml:space="preserve">Square Interlock Pavers Single Color with compressive strength </t>
    </r>
    <r>
      <rPr>
        <b/>
        <sz val="12"/>
        <rFont val="Times New Roman"/>
        <family val="1"/>
      </rPr>
      <t>M30 or above. Thickness: 50mm, Dimension:200*200*50</t>
    </r>
    <r>
      <rPr>
        <sz val="12"/>
        <rFont val="Times New Roman"/>
        <family val="1"/>
      </rPr>
      <t xml:space="preserve"> (NS Standard)</t>
    </r>
  </si>
  <si>
    <r>
      <t xml:space="preserve">Romba 3D interlock Pavers  Single Color with compressive strength </t>
    </r>
    <r>
      <rPr>
        <b/>
        <sz val="12"/>
        <rFont val="Times New Roman"/>
        <family val="1"/>
      </rPr>
      <t>M35 or above. Thickness: 60mm, Dimension:200*173 *60</t>
    </r>
    <r>
      <rPr>
        <sz val="12"/>
        <rFont val="Times New Roman"/>
        <family val="1"/>
      </rPr>
      <t xml:space="preserve"> (NS Standard)</t>
    </r>
  </si>
  <si>
    <r>
      <t xml:space="preserve">Romba 3D interlock Pavers Blended Color with compressive strength </t>
    </r>
    <r>
      <rPr>
        <b/>
        <sz val="12"/>
        <rFont val="Times New Roman"/>
        <family val="1"/>
      </rPr>
      <t>M35 or above. Thickness: 60mm, Dimension:200*173 *60</t>
    </r>
    <r>
      <rPr>
        <sz val="12"/>
        <rFont val="Times New Roman"/>
        <family val="1"/>
      </rPr>
      <t xml:space="preserve"> (NS Standard)</t>
    </r>
  </si>
  <si>
    <r>
      <t xml:space="preserve">Romba 3D interlock Pavers  Grey Color with compressive strength </t>
    </r>
    <r>
      <rPr>
        <b/>
        <sz val="12"/>
        <rFont val="Times New Roman"/>
        <family val="1"/>
      </rPr>
      <t>M35 or above. Thickness: 60mm, Dimension:200*173 *60</t>
    </r>
    <r>
      <rPr>
        <sz val="12"/>
        <rFont val="Times New Roman"/>
        <family val="1"/>
      </rPr>
      <t xml:space="preserve"> (NS Standard)</t>
    </r>
  </si>
  <si>
    <r>
      <t xml:space="preserve">Zigzag Interlock Pavers Blended Color with compressive strength </t>
    </r>
    <r>
      <rPr>
        <b/>
        <sz val="12"/>
        <rFont val="Times New Roman"/>
        <family val="1"/>
      </rPr>
      <t>M55 or above. Thickness: 120mm, Dimension:225*112.5*120</t>
    </r>
    <r>
      <rPr>
        <sz val="12"/>
        <rFont val="Times New Roman"/>
        <family val="1"/>
      </rPr>
      <t>(NS Standard)</t>
    </r>
  </si>
  <si>
    <r>
      <t xml:space="preserve">Zigzag Interlock Pavers Single Color with compressive strength </t>
    </r>
    <r>
      <rPr>
        <b/>
        <sz val="12"/>
        <rFont val="Times New Roman"/>
        <family val="1"/>
      </rPr>
      <t>M55or above. Thickness: 120mm, Dimension:225*112.5*120</t>
    </r>
    <r>
      <rPr>
        <sz val="12"/>
        <rFont val="Times New Roman"/>
        <family val="1"/>
      </rPr>
      <t xml:space="preserve"> (NS Standard)</t>
    </r>
  </si>
  <si>
    <r>
      <t xml:space="preserve">Zigzag Interlock Pavers Single Color with compressive strength </t>
    </r>
    <r>
      <rPr>
        <b/>
        <sz val="12"/>
        <rFont val="Times New Roman"/>
        <family val="1"/>
      </rPr>
      <t>M50 or above. Thickness: 100mm, Dimension:225*112.5*100</t>
    </r>
    <r>
      <rPr>
        <sz val="12"/>
        <rFont val="Times New Roman"/>
        <family val="1"/>
      </rPr>
      <t xml:space="preserve"> (NS Standard)</t>
    </r>
  </si>
  <si>
    <r>
      <t xml:space="preserve">Zigzag Interlock Pavers Grey Color with compressive strength </t>
    </r>
    <r>
      <rPr>
        <b/>
        <sz val="12"/>
        <rFont val="Times New Roman"/>
        <family val="1"/>
      </rPr>
      <t>M50 or above. Thickness: 100mm, Dimension:225*112.5*100</t>
    </r>
    <r>
      <rPr>
        <sz val="12"/>
        <rFont val="Times New Roman"/>
        <family val="1"/>
      </rPr>
      <t xml:space="preserve"> (NS Standard)</t>
    </r>
  </si>
  <si>
    <r>
      <t xml:space="preserve">Zigzag Interlock Pavers Grey Color with compressive strength </t>
    </r>
    <r>
      <rPr>
        <b/>
        <sz val="12"/>
        <rFont val="Times New Roman"/>
        <family val="1"/>
      </rPr>
      <t>M40 or above. Thickness: 80mm, Dimension:225*112.5*80</t>
    </r>
    <r>
      <rPr>
        <sz val="12"/>
        <rFont val="Times New Roman"/>
        <family val="1"/>
      </rPr>
      <t xml:space="preserve"> (NS Standard)</t>
    </r>
  </si>
  <si>
    <r>
      <t xml:space="preserve">Zigzag Interlock Pavers Single Color with compressive strength </t>
    </r>
    <r>
      <rPr>
        <b/>
        <sz val="12"/>
        <rFont val="Times New Roman"/>
        <family val="1"/>
      </rPr>
      <t>M40 or above. Thickness: 80mm, Dimension:225*112.5*80</t>
    </r>
    <r>
      <rPr>
        <sz val="12"/>
        <rFont val="Times New Roman"/>
        <family val="1"/>
      </rPr>
      <t xml:space="preserve"> (NS Standard)</t>
    </r>
  </si>
  <si>
    <r>
      <t xml:space="preserve">Zigzag Interlock Pavers Blended Color with compressive strength </t>
    </r>
    <r>
      <rPr>
        <b/>
        <sz val="12"/>
        <rFont val="Times New Roman"/>
        <family val="1"/>
      </rPr>
      <t>M40 or above. Thickness: 80mm, Dimension:225*112.5*80</t>
    </r>
    <r>
      <rPr>
        <sz val="12"/>
        <rFont val="Times New Roman"/>
        <family val="1"/>
      </rPr>
      <t xml:space="preserve"> (NS Standard)</t>
    </r>
  </si>
  <si>
    <r>
      <t xml:space="preserve">Uni Interlock Pavers Grey Color with compressive strength </t>
    </r>
    <r>
      <rPr>
        <b/>
        <sz val="12"/>
        <rFont val="Times New Roman"/>
        <family val="1"/>
      </rPr>
      <t>M35 or above. Thickness: 60mm, Dimension:240*120*60</t>
    </r>
    <r>
      <rPr>
        <sz val="12"/>
        <rFont val="Times New Roman"/>
        <family val="1"/>
      </rPr>
      <t xml:space="preserve"> (NS Standard)</t>
    </r>
  </si>
  <si>
    <r>
      <t xml:space="preserve">Uni Interlock Pavers Single Color with compressive strength </t>
    </r>
    <r>
      <rPr>
        <b/>
        <sz val="12"/>
        <rFont val="Times New Roman"/>
        <family val="1"/>
      </rPr>
      <t>M35 or above. Thickness: 60mm, Dimension:240*120*60</t>
    </r>
    <r>
      <rPr>
        <sz val="12"/>
        <rFont val="Times New Roman"/>
        <family val="1"/>
      </rPr>
      <t xml:space="preserve"> (NS Standard)</t>
    </r>
  </si>
  <si>
    <r>
      <t xml:space="preserve">Uni Interlock Pavers Blended Color with compressive strength </t>
    </r>
    <r>
      <rPr>
        <b/>
        <sz val="12"/>
        <rFont val="Times New Roman"/>
        <family val="1"/>
      </rPr>
      <t>M35 or above. Thickness: 60mm, Dimension:240*120*60</t>
    </r>
    <r>
      <rPr>
        <sz val="12"/>
        <rFont val="Times New Roman"/>
        <family val="1"/>
      </rPr>
      <t xml:space="preserve"> (NS Standard)</t>
    </r>
  </si>
  <si>
    <r>
      <t xml:space="preserve">Hexagon  Interlock Pavers Grey Color with compressive strength </t>
    </r>
    <r>
      <rPr>
        <b/>
        <sz val="12"/>
        <rFont val="Times New Roman"/>
        <family val="1"/>
      </rPr>
      <t xml:space="preserve">M35 or above. Thickness: 60mm, Dimension: 226*200*60 (NS Standard) </t>
    </r>
  </si>
  <si>
    <r>
      <t xml:space="preserve">Hexagon  Interlock Pavers Single Color with compressive strength </t>
    </r>
    <r>
      <rPr>
        <b/>
        <sz val="12"/>
        <rFont val="Times New Roman"/>
        <family val="1"/>
      </rPr>
      <t xml:space="preserve">M35 or above. Thickness: 60mm, Dimension: 226*200*60 (NS Standard) </t>
    </r>
  </si>
  <si>
    <r>
      <t xml:space="preserve">Hexagon  Interlock Pavers Blended Color with compressive strength </t>
    </r>
    <r>
      <rPr>
        <b/>
        <sz val="12"/>
        <rFont val="Times New Roman"/>
        <family val="1"/>
      </rPr>
      <t xml:space="preserve">M35 or above. Thickness: 60mm, Dimension: 226*200*60 (NS Standard) </t>
    </r>
  </si>
  <si>
    <r>
      <t xml:space="preserve">Hexagon  Interlock Pavers Grey Color with compressive strength </t>
    </r>
    <r>
      <rPr>
        <b/>
        <sz val="12"/>
        <rFont val="Times New Roman"/>
        <family val="1"/>
      </rPr>
      <t>M40 or above. Thickness: 70mm, Dimension: 226*200*70 (NS Standard)</t>
    </r>
    <r>
      <rPr>
        <sz val="12"/>
        <rFont val="Times New Roman"/>
        <family val="1"/>
      </rPr>
      <t xml:space="preserve"> </t>
    </r>
  </si>
  <si>
    <r>
      <t xml:space="preserve">Hexagon  Interlock Pavers Single Color with compressive strength </t>
    </r>
    <r>
      <rPr>
        <b/>
        <sz val="12"/>
        <rFont val="Times New Roman"/>
        <family val="1"/>
      </rPr>
      <t xml:space="preserve">M40 or above. Thickness: 70mm, Dimension: 226*200*70 (NS Standard) </t>
    </r>
  </si>
  <si>
    <r>
      <t xml:space="preserve">Hexagon  Interlock Pavers Blended Color with compressive strength </t>
    </r>
    <r>
      <rPr>
        <b/>
        <sz val="12"/>
        <rFont val="Times New Roman"/>
        <family val="1"/>
      </rPr>
      <t xml:space="preserve">M40 or above. Thickness: 70mm, Dimension: 226*200*70 (NS Standard) </t>
    </r>
  </si>
  <si>
    <r>
      <t xml:space="preserve">Hexagon  Interlock Pavers Grey Color with compressive strength </t>
    </r>
    <r>
      <rPr>
        <b/>
        <sz val="12"/>
        <rFont val="Times New Roman"/>
        <family val="1"/>
      </rPr>
      <t xml:space="preserve">M40 or above. Thickness: 80mm, Dimension: 226*200*80 (NS Standard) </t>
    </r>
  </si>
  <si>
    <r>
      <t xml:space="preserve">Hexagon  Interlock Pavers Single Color with compressive strength </t>
    </r>
    <r>
      <rPr>
        <b/>
        <sz val="12"/>
        <rFont val="Times New Roman"/>
        <family val="1"/>
      </rPr>
      <t xml:space="preserve">M40 or above. Thickness: 80mm, Dimension: 226*200*80 (NS Standard) </t>
    </r>
  </si>
  <si>
    <r>
      <t xml:space="preserve">Hexagon  Interlock Pavers Blended Color with compressive strength </t>
    </r>
    <r>
      <rPr>
        <b/>
        <sz val="12"/>
        <rFont val="Times New Roman"/>
        <family val="1"/>
      </rPr>
      <t>M40 or above. Thickness: 80mm, Dimension: 226*200*80 (NS Standard)</t>
    </r>
    <r>
      <rPr>
        <sz val="12"/>
        <rFont val="Times New Roman"/>
        <family val="1"/>
      </rPr>
      <t xml:space="preserve"> </t>
    </r>
  </si>
  <si>
    <r>
      <t xml:space="preserve">Rectangular Interlock Pavers Grey Color with compressive strength </t>
    </r>
    <r>
      <rPr>
        <b/>
        <sz val="12"/>
        <rFont val="Times New Roman"/>
        <family val="1"/>
      </rPr>
      <t>M35 or above. Thickness: 60mm, Dimension:200*100*60 (NS Standard)</t>
    </r>
  </si>
  <si>
    <r>
      <t xml:space="preserve">Rectangular Interlock Pavers Single Color with compressive strength </t>
    </r>
    <r>
      <rPr>
        <b/>
        <sz val="12"/>
        <rFont val="Times New Roman"/>
        <family val="1"/>
      </rPr>
      <t>M35 or above. Thickness: 60mm, Dimension:200*100*60 (NS Standard)</t>
    </r>
  </si>
  <si>
    <r>
      <t xml:space="preserve">Rectangular Interlock Pavers Blended Color with compressive strength </t>
    </r>
    <r>
      <rPr>
        <b/>
        <sz val="12"/>
        <rFont val="Times New Roman"/>
        <family val="1"/>
      </rPr>
      <t>M35 or above. Thickness: 60mm, Dimension:200*100*60 (NS Standard)</t>
    </r>
  </si>
  <si>
    <r>
      <t xml:space="preserve">Rectangular Interlock Pavers Grey Color with compressive strength </t>
    </r>
    <r>
      <rPr>
        <b/>
        <sz val="12"/>
        <rFont val="Times New Roman"/>
        <family val="1"/>
      </rPr>
      <t>M50 or above. Thickness: 100mm, Dimension:200*100*100 (NS Standard)</t>
    </r>
  </si>
  <si>
    <r>
      <t xml:space="preserve">Rectangular Interlock Pavers Single Color with compressive strength </t>
    </r>
    <r>
      <rPr>
        <b/>
        <sz val="12"/>
        <rFont val="Times New Roman"/>
        <family val="1"/>
      </rPr>
      <t>M50 or above. Thickness: 100mm, Dimension:200*100*100 (NS Standard)</t>
    </r>
  </si>
  <si>
    <r>
      <t xml:space="preserve">Rectangular Interlock Pavers Blended Color with compressive strength </t>
    </r>
    <r>
      <rPr>
        <b/>
        <sz val="12"/>
        <rFont val="Times New Roman"/>
        <family val="1"/>
      </rPr>
      <t>M50 or above. Thickness: 100mm, Dimension:200*100*100 (NS Standard)</t>
    </r>
  </si>
  <si>
    <r>
      <t xml:space="preserve">Behaton Interlock I Pavers  Grey Color with compressive strength </t>
    </r>
    <r>
      <rPr>
        <b/>
        <sz val="12"/>
        <rFont val="Times New Roman"/>
        <family val="1"/>
      </rPr>
      <t>M35 or above. Thickness: 50mm, Dimension:200*165*50 (NS Standard)</t>
    </r>
  </si>
  <si>
    <r>
      <t xml:space="preserve">Behaton Interlock I Pavers Single Color with compressive strength </t>
    </r>
    <r>
      <rPr>
        <b/>
        <sz val="12"/>
        <rFont val="Times New Roman"/>
        <family val="1"/>
      </rPr>
      <t>M35 or above. Thickness: 50mm, Dimension:200*165*50 (NS Standard)</t>
    </r>
  </si>
  <si>
    <r>
      <t xml:space="preserve">Behaton Interlock I Pavers Blended Color with compressive strength </t>
    </r>
    <r>
      <rPr>
        <b/>
        <sz val="12"/>
        <rFont val="Times New Roman"/>
        <family val="1"/>
      </rPr>
      <t>M35 or above. Thickness: 50mm, Dimension:200*165*50 (NS Standard)</t>
    </r>
  </si>
  <si>
    <r>
      <t xml:space="preserve">Behaton Interlock I Pavers Grey Color with compressive strength </t>
    </r>
    <r>
      <rPr>
        <b/>
        <sz val="12"/>
        <rFont val="Times New Roman"/>
        <family val="1"/>
      </rPr>
      <t>M40 or above. Thickness: 80mm, Dimension:200*165*80 (NS Standard)</t>
    </r>
  </si>
  <si>
    <r>
      <t xml:space="preserve">Behaton Interlock I Pavers Blended Color with compressive strength </t>
    </r>
    <r>
      <rPr>
        <b/>
        <sz val="12"/>
        <rFont val="Times New Roman"/>
        <family val="1"/>
      </rPr>
      <t>M40 or above. Thickness: 80mm, Dimension:200*165*80 (NS Standard)</t>
    </r>
  </si>
  <si>
    <r>
      <t xml:space="preserve">Behaton Interlock I Pavers Single Color with compressive strength </t>
    </r>
    <r>
      <rPr>
        <b/>
        <sz val="12"/>
        <rFont val="Times New Roman"/>
        <family val="1"/>
      </rPr>
      <t>M40 or above. Thickness: 80mm, Dimension:200*165*80 (NS Standard)</t>
    </r>
  </si>
  <si>
    <r>
      <t xml:space="preserve">Interlock With Cobble Pavers Grey Color with compressive strength </t>
    </r>
    <r>
      <rPr>
        <b/>
        <sz val="12"/>
        <rFont val="Times New Roman"/>
        <family val="1"/>
      </rPr>
      <t>M35 or above. Thickness: 60mm, Dimension:200*200*60 (NS Standard)</t>
    </r>
  </si>
  <si>
    <r>
      <t xml:space="preserve">Interlock With Cobble Pavers Single Color with compressive strength </t>
    </r>
    <r>
      <rPr>
        <b/>
        <sz val="12"/>
        <rFont val="Times New Roman"/>
        <family val="1"/>
      </rPr>
      <t>M35 or above. Thickness: 60mm, Dimension:200*200*60 (NS Standard)</t>
    </r>
  </si>
  <si>
    <r>
      <t xml:space="preserve">Interlock With Cobble Pavers Blended Color with compressive strength </t>
    </r>
    <r>
      <rPr>
        <b/>
        <sz val="12"/>
        <rFont val="Times New Roman"/>
        <family val="1"/>
      </rPr>
      <t>M35 or above. Thickness: 60mm, Dimension:200*200*60 (NS Standard)</t>
    </r>
  </si>
  <si>
    <r>
      <t xml:space="preserve">Matrix Slab / Tiles Grey Color with compressive strength </t>
    </r>
    <r>
      <rPr>
        <b/>
        <sz val="12"/>
        <rFont val="Times New Roman"/>
        <family val="1"/>
      </rPr>
      <t>M35 or above. (Specification: Thickness: 40mm, Dimension:400*400*40</t>
    </r>
    <r>
      <rPr>
        <sz val="12"/>
        <rFont val="Times New Roman"/>
        <family val="1"/>
      </rPr>
      <t>, Tolerance/others:±1mm Variance in thickness, Proper Interlock Grooves &amp; Pigment Color, Water absorption &lt;6%)</t>
    </r>
  </si>
  <si>
    <r>
      <t xml:space="preserve">Matrix Slab / Tiles Single Color with compressive strength </t>
    </r>
    <r>
      <rPr>
        <b/>
        <sz val="12"/>
        <rFont val="Times New Roman"/>
        <family val="1"/>
      </rPr>
      <t>M35 or above. (Specification: Thickness: 40mm, Dimension:400*400*40</t>
    </r>
    <r>
      <rPr>
        <sz val="12"/>
        <rFont val="Times New Roman"/>
        <family val="1"/>
      </rPr>
      <t>, Tolerance/others:±1mm Variance in thickness, Proper Interlock Grooves &amp; Pigment Color, Water absorption &lt;6%)</t>
    </r>
  </si>
  <si>
    <r>
      <t xml:space="preserve">Matrix Slab / Tiles Blended Color with compressive strength </t>
    </r>
    <r>
      <rPr>
        <b/>
        <sz val="12"/>
        <rFont val="Times New Roman"/>
        <family val="1"/>
      </rPr>
      <t>M35 or above. (Specification: Thickness: 40mm, Dimension:400*400*40</t>
    </r>
    <r>
      <rPr>
        <sz val="12"/>
        <rFont val="Times New Roman"/>
        <family val="1"/>
      </rPr>
      <t>, Tolerance/others:±1mm Variance in thickness, Proper Interlock Grooves &amp; Pigment Color, Water absorption &lt;6%)</t>
    </r>
  </si>
  <si>
    <r>
      <t xml:space="preserve">Matrix Slab / Tiles Grey Color with compressive strength </t>
    </r>
    <r>
      <rPr>
        <b/>
        <sz val="12"/>
        <rFont val="Times New Roman"/>
        <family val="1"/>
      </rPr>
      <t>M35 or above. (Specification: Thickness: 60mm, Dimension:400*400*60</t>
    </r>
    <r>
      <rPr>
        <sz val="12"/>
        <rFont val="Times New Roman"/>
        <family val="1"/>
      </rPr>
      <t>, Tolerance/others:±1mm Variance in thickness, Proper Interlock Grooves &amp; Pigment Color, Water absorption &lt;6%)</t>
    </r>
  </si>
  <si>
    <r>
      <t xml:space="preserve">Matrix Slab / Tiles Single Color with compressive strength </t>
    </r>
    <r>
      <rPr>
        <b/>
        <sz val="12"/>
        <rFont val="Times New Roman"/>
        <family val="1"/>
      </rPr>
      <t>M35 or above. (Specification: Thickness: 60mm, Dimension:400*400*60</t>
    </r>
    <r>
      <rPr>
        <sz val="12"/>
        <rFont val="Times New Roman"/>
        <family val="1"/>
      </rPr>
      <t>, Tolerance/others:±1mm Variance in thickness, Proper Interlock Grooves &amp; Pigment Color, Water absorption &lt;6%)</t>
    </r>
  </si>
  <si>
    <r>
      <t xml:space="preserve">Matrix Slab / Tiles Blended Color with compressive strength </t>
    </r>
    <r>
      <rPr>
        <b/>
        <sz val="12"/>
        <rFont val="Times New Roman"/>
        <family val="1"/>
      </rPr>
      <t>M35 or above. (Specification: Thickness: 60mm, Dimension:400*400*60</t>
    </r>
    <r>
      <rPr>
        <sz val="12"/>
        <rFont val="Times New Roman"/>
        <family val="1"/>
      </rPr>
      <t>, Tolerance/others:±1mm Variance in thickness, Proper Interlock Grooves &amp; Pigment Color, Water absorption &lt;6%)</t>
    </r>
  </si>
  <si>
    <r>
      <t xml:space="preserve">Half batterd Kerbstone  Grey Color with compressive strength </t>
    </r>
    <r>
      <rPr>
        <b/>
        <sz val="12"/>
        <rFont val="Times New Roman"/>
        <family val="1"/>
      </rPr>
      <t>M20 or above. Thickness: 380mm, Dimension: 250*165*380</t>
    </r>
    <r>
      <rPr>
        <sz val="12"/>
        <rFont val="Times New Roman"/>
        <family val="1"/>
      </rPr>
      <t xml:space="preserve"> (LxBxH) (NS Standard)</t>
    </r>
  </si>
  <si>
    <r>
      <t xml:space="preserve">Half batterd Kerbstone  Grey Color with compressive strength </t>
    </r>
    <r>
      <rPr>
        <b/>
        <sz val="12"/>
        <rFont val="Times New Roman"/>
        <family val="1"/>
      </rPr>
      <t>M25. Thickness: 380mm, Dimension: 250*16*380 (LxBxH)</t>
    </r>
    <r>
      <rPr>
        <sz val="12"/>
        <rFont val="Times New Roman"/>
        <family val="1"/>
      </rPr>
      <t xml:space="preserve"> (NS Standard)</t>
    </r>
  </si>
  <si>
    <r>
      <t xml:space="preserve">Splayed kerb stone Gray colour with Compressive strength 0f </t>
    </r>
    <r>
      <rPr>
        <b/>
        <sz val="12"/>
        <rFont val="Times New Roman"/>
        <family val="1"/>
      </rPr>
      <t>M20 or above ( NS Standard). Dimension 250*165*380mm</t>
    </r>
    <r>
      <rPr>
        <sz val="12"/>
        <rFont val="Times New Roman"/>
        <family val="1"/>
      </rPr>
      <t xml:space="preserve"> (L*B*H)</t>
    </r>
  </si>
  <si>
    <r>
      <t xml:space="preserve">Bullnose Kerbstone  Grey Color with compressive strength </t>
    </r>
    <r>
      <rPr>
        <b/>
        <sz val="12"/>
        <rFont val="Times New Roman"/>
        <family val="1"/>
      </rPr>
      <t>M20. Thickness: 200mm, Dimension:300*200*350</t>
    </r>
    <r>
      <rPr>
        <sz val="12"/>
        <rFont val="Times New Roman"/>
        <family val="1"/>
      </rPr>
      <t xml:space="preserve"> (LxBxH) (NS Standard)</t>
    </r>
  </si>
  <si>
    <r>
      <t xml:space="preserve">Bricks Grey Color with compressive strength </t>
    </r>
    <r>
      <rPr>
        <b/>
        <sz val="12"/>
        <rFont val="Times New Roman"/>
        <family val="1"/>
      </rPr>
      <t>M10 or above. (Specification: Thickness: 70mm, Dimension:230*110*70</t>
    </r>
    <r>
      <rPr>
        <sz val="12"/>
        <rFont val="Times New Roman"/>
        <family val="1"/>
      </rPr>
      <t>, Tolerance/others:Machine Made Precast Concrete Bricks)</t>
    </r>
  </si>
  <si>
    <r>
      <t xml:space="preserve">Bricks Single Color with compressive strength </t>
    </r>
    <r>
      <rPr>
        <b/>
        <sz val="12"/>
        <rFont val="Times New Roman"/>
        <family val="1"/>
      </rPr>
      <t>M10 or above. (Specification: Thickness: 70mm, Dimension:230*110*70</t>
    </r>
    <r>
      <rPr>
        <sz val="12"/>
        <rFont val="Times New Roman"/>
        <family val="1"/>
      </rPr>
      <t>, Tolerance/others:Machine Made Precast Concrete Bricks)</t>
    </r>
  </si>
  <si>
    <r>
      <t xml:space="preserve">Bricks Grey Color with compressive strength </t>
    </r>
    <r>
      <rPr>
        <b/>
        <sz val="12"/>
        <rFont val="Times New Roman"/>
        <family val="1"/>
      </rPr>
      <t>M10 or above. (Specification: Thickness: 55mm, Dimension:230*110*55</t>
    </r>
    <r>
      <rPr>
        <sz val="12"/>
        <rFont val="Times New Roman"/>
        <family val="1"/>
      </rPr>
      <t>, Tolerance/others:Machine Made Precast Concrete Bricks)</t>
    </r>
  </si>
  <si>
    <r>
      <t xml:space="preserve">Bricks Single Color with compressive strength </t>
    </r>
    <r>
      <rPr>
        <b/>
        <sz val="12"/>
        <rFont val="Times New Roman"/>
        <family val="1"/>
      </rPr>
      <t>M10 or above. (Specification: Thickness: 55mm, Dimension:230*110*55</t>
    </r>
    <r>
      <rPr>
        <sz val="12"/>
        <rFont val="Times New Roman"/>
        <family val="1"/>
      </rPr>
      <t>, Tolerance/others:Machine Made Precast Concrete Bricks)</t>
    </r>
  </si>
  <si>
    <r>
      <t xml:space="preserve">Hollocon  Grey Color with compressive strength </t>
    </r>
    <r>
      <rPr>
        <b/>
        <sz val="12"/>
        <rFont val="Times New Roman"/>
        <family val="1"/>
      </rPr>
      <t>M7 or above. (Specification: Thickness: 200mm, Dimension:390*200*190</t>
    </r>
    <r>
      <rPr>
        <sz val="12"/>
        <rFont val="Times New Roman"/>
        <family val="1"/>
      </rPr>
      <t>, Tolerance/others:Machine Made)</t>
    </r>
  </si>
  <si>
    <r>
      <t xml:space="preserve">Hollocon  Single Color with compressive strength </t>
    </r>
    <r>
      <rPr>
        <b/>
        <sz val="12"/>
        <rFont val="Times New Roman"/>
        <family val="1"/>
      </rPr>
      <t>M7 or above. (Specification: Thickness: 200mm, Dimension:390*200*190</t>
    </r>
    <r>
      <rPr>
        <sz val="12"/>
        <rFont val="Times New Roman"/>
        <family val="1"/>
      </rPr>
      <t>, Tolerance/others:Machine Made)</t>
    </r>
  </si>
  <si>
    <r>
      <t xml:space="preserve">Hollocon  Grey Color with compressive strength </t>
    </r>
    <r>
      <rPr>
        <b/>
        <sz val="12"/>
        <rFont val="Times New Roman"/>
        <family val="1"/>
      </rPr>
      <t>M7 or above. (Specification: Thickness: 150mm, Dimension:390*150*190</t>
    </r>
    <r>
      <rPr>
        <sz val="12"/>
        <rFont val="Times New Roman"/>
        <family val="1"/>
      </rPr>
      <t>, Tolerance/others:Machine Made)</t>
    </r>
  </si>
  <si>
    <r>
      <t xml:space="preserve">Hollocon  Grey Color with compressive strength </t>
    </r>
    <r>
      <rPr>
        <b/>
        <sz val="12"/>
        <rFont val="Times New Roman"/>
        <family val="1"/>
      </rPr>
      <t>M7 or above. (Specification: Thickness: 100mm, Dimension:390*100*190</t>
    </r>
    <r>
      <rPr>
        <sz val="12"/>
        <rFont val="Times New Roman"/>
        <family val="1"/>
      </rPr>
      <t>, Tolerance/others:Machine Made)</t>
    </r>
  </si>
  <si>
    <r>
      <t xml:space="preserve">Hollocon  Single Color with compressive strength </t>
    </r>
    <r>
      <rPr>
        <b/>
        <sz val="12"/>
        <rFont val="Times New Roman"/>
        <family val="1"/>
      </rPr>
      <t>M7 or above. (Specification: Thickness: 150mm, Dimension:390*150*190</t>
    </r>
    <r>
      <rPr>
        <sz val="12"/>
        <rFont val="Times New Roman"/>
        <family val="1"/>
      </rPr>
      <t>, Tolerance/others:Machine Made)</t>
    </r>
  </si>
  <si>
    <r>
      <t xml:space="preserve">Hollocon  Single Color with compressive strength </t>
    </r>
    <r>
      <rPr>
        <b/>
        <sz val="12"/>
        <rFont val="Times New Roman"/>
        <family val="1"/>
      </rPr>
      <t>M7 or above. (Specification: Thickness: 100mm, Dimension:390*100*190</t>
    </r>
    <r>
      <rPr>
        <sz val="12"/>
        <rFont val="Times New Roman"/>
        <family val="1"/>
      </rPr>
      <t>, Tolerance/others:Machine Made)</t>
    </r>
  </si>
  <si>
    <t>Interlock Pavers</t>
  </si>
  <si>
    <r>
      <t>Bullnose Kerbstone  Grey Color with compressive strength</t>
    </r>
    <r>
      <rPr>
        <b/>
        <sz val="12"/>
        <rFont val="Times New Roman"/>
        <family val="1"/>
      </rPr>
      <t xml:space="preserve"> M25. Thickness: 200mm, Dimension:300*200*350</t>
    </r>
    <r>
      <rPr>
        <sz val="12"/>
        <rFont val="Times New Roman"/>
        <family val="1"/>
      </rPr>
      <t xml:space="preserve"> (LxBxH) (NS Standard)</t>
    </r>
  </si>
  <si>
    <t>Mortars and Plaster for Wall &amp; Flooring Works</t>
  </si>
  <si>
    <t>Sagarmatha</t>
  </si>
  <si>
    <r>
      <t>Splayed Battered  kerb stone Grey colour with Compressive strength 0f</t>
    </r>
    <r>
      <rPr>
        <b/>
        <sz val="12"/>
        <rFont val="Times New Roman"/>
        <family val="1"/>
      </rPr>
      <t xml:space="preserve"> M25 or above ( NS Standard). Dimension 250*165*380mm</t>
    </r>
    <r>
      <rPr>
        <sz val="12"/>
        <rFont val="Times New Roman"/>
        <family val="1"/>
      </rPr>
      <t xml:space="preserve"> (L*B*H)</t>
    </r>
  </si>
  <si>
    <t>प्रति बोरा</t>
  </si>
  <si>
    <t xml:space="preserve">Precast Boundary Wall </t>
  </si>
  <si>
    <t>Asian</t>
  </si>
  <si>
    <r>
      <t xml:space="preserve">Zigzag Interlock Pavers Blended Color with compressive strength </t>
    </r>
    <r>
      <rPr>
        <b/>
        <sz val="12"/>
        <rFont val="Times New Roman"/>
        <family val="1"/>
      </rPr>
      <t>M50 or above. Thickness: 120mm, Dimension:225*112.5*100</t>
    </r>
    <r>
      <rPr>
        <sz val="12"/>
        <rFont val="Times New Roman"/>
        <family val="1"/>
      </rPr>
      <t xml:space="preserve"> (NS Standard)</t>
    </r>
  </si>
  <si>
    <r>
      <t xml:space="preserve">Zigzag Interlock Pavers Grey Color with compressive strength </t>
    </r>
    <r>
      <rPr>
        <b/>
        <sz val="12"/>
        <rFont val="Times New Roman"/>
        <family val="1"/>
      </rPr>
      <t>M55 or above. Thickness: 100mm, Dimension:225*112.5*120</t>
    </r>
    <r>
      <rPr>
        <sz val="12"/>
        <rFont val="Times New Roman"/>
        <family val="1"/>
      </rPr>
      <t xml:space="preserve"> (NS Standard)</t>
    </r>
  </si>
  <si>
    <t>Average</t>
  </si>
  <si>
    <t>Machine Made Precast Brick / Interlocks / Slabs / Kerbstones</t>
  </si>
  <si>
    <t>Powder Coated Mild Steel Door Frame ( 100mmX50mmX1.6mm)</t>
  </si>
  <si>
    <t>Powder Coated Mild Steel Window Frame ( 100mmX50mmX1.6mm)</t>
  </si>
  <si>
    <t>Powder Coated Mild Steel Window Shutter ( 70mmX25mmX1.0mm) with clear glass (5mm thickness) including cost of materials, labour, fixing and fitting all complete.</t>
  </si>
  <si>
    <t>Powder Coated Mild Steel Window Shutter ( 70mmX25mmX1.0mm) with metal sheet panel (1mm thickness) including cost of materials, labour, fixing and fitting all complete.</t>
  </si>
  <si>
    <t>Powder Coated Mild Steel Door Shutter ( 40mmX25mmX1.0mm) with metal sheet panel (1mm thickness) including cost of materials, labour, fixing and fitting all complete.</t>
  </si>
  <si>
    <t>Powder Coated Mild Steel Grill for window with 5mm thick MS Flat border and 8mm MS Sqaure Rod</t>
  </si>
  <si>
    <t>Nawalpur Rate</t>
  </si>
  <si>
    <t>Prasar Metal</t>
  </si>
  <si>
    <r>
      <t xml:space="preserve">24 </t>
    </r>
    <r>
      <rPr>
        <sz val="9"/>
        <rFont val="Kalimati"/>
        <charset val="1"/>
      </rPr>
      <t>गेज मिडियम</t>
    </r>
    <r>
      <rPr>
        <sz val="10"/>
        <rFont val="FONTASY_ HIMALI_ TT"/>
        <family val="5"/>
      </rPr>
      <t xml:space="preserve"> 0=50 Pd=Pd=</t>
    </r>
  </si>
  <si>
    <t>Nawalpur</t>
  </si>
  <si>
    <t>DFO</t>
  </si>
  <si>
    <t>HDPE Double Wall Corrugated Pipes (DWC) (SN8)</t>
  </si>
  <si>
    <t>100mm dia</t>
  </si>
  <si>
    <t>150mm dia</t>
  </si>
  <si>
    <t>200mm dia</t>
  </si>
  <si>
    <t>250mm dia</t>
  </si>
  <si>
    <t>300mm dia</t>
  </si>
  <si>
    <t>400mm dia</t>
  </si>
  <si>
    <t>500mm dia</t>
  </si>
  <si>
    <t>600mm dia</t>
  </si>
  <si>
    <t>800mm dia</t>
  </si>
  <si>
    <t>1000mm dia</t>
  </si>
  <si>
    <t>Kathmandu 81/82</t>
  </si>
  <si>
    <t>kathmandu</t>
  </si>
  <si>
    <t>Siddhartha</t>
  </si>
  <si>
    <t>1-2</t>
  </si>
  <si>
    <t>3-4</t>
  </si>
  <si>
    <t>5-10</t>
  </si>
  <si>
    <t>11-15</t>
  </si>
  <si>
    <t>16-18</t>
  </si>
  <si>
    <t>19-20</t>
  </si>
  <si>
    <t>21-26</t>
  </si>
  <si>
    <t>27</t>
  </si>
  <si>
    <t>28-34</t>
  </si>
  <si>
    <t>35-36</t>
  </si>
  <si>
    <t>37</t>
  </si>
  <si>
    <t>38-49</t>
  </si>
  <si>
    <t>50-52</t>
  </si>
  <si>
    <t>53-54</t>
  </si>
  <si>
    <t>55-60</t>
  </si>
  <si>
    <t>61</t>
  </si>
  <si>
    <t>62</t>
  </si>
  <si>
    <t>63-66</t>
  </si>
  <si>
    <t>67-70</t>
  </si>
  <si>
    <t>71</t>
  </si>
  <si>
    <t>72</t>
  </si>
  <si>
    <t>73-80</t>
  </si>
  <si>
    <t>81-82</t>
  </si>
  <si>
    <r>
      <t xml:space="preserve">Powder Coated </t>
    </r>
    <r>
      <rPr>
        <b/>
        <sz val="11"/>
        <rFont val="Kalimati"/>
        <charset val="1"/>
      </rPr>
      <t>झ्याल तथा ढोकाहरु</t>
    </r>
  </si>
  <si>
    <t>ग्रेनाइट</t>
  </si>
  <si>
    <t>पाल्पाबाट साभार</t>
  </si>
  <si>
    <t xml:space="preserve">NEA Rate </t>
  </si>
  <si>
    <r>
      <t>Hexagon  Interlock Pavers Grey Color with compressive strength</t>
    </r>
    <r>
      <rPr>
        <b/>
        <sz val="12"/>
        <rFont val="Times New Roman"/>
        <family val="1"/>
      </rPr>
      <t xml:space="preserve"> M30 or above</t>
    </r>
    <r>
      <rPr>
        <sz val="12"/>
        <rFont val="Times New Roman"/>
        <family val="1"/>
      </rPr>
      <t xml:space="preserve">. </t>
    </r>
    <r>
      <rPr>
        <b/>
        <sz val="12"/>
        <rFont val="Times New Roman"/>
        <family val="1"/>
      </rPr>
      <t>Thickness: 60mm, Dimension: 200*200*60 (Local Machine Made)</t>
    </r>
  </si>
  <si>
    <r>
      <t>Hexagon  Interlock Pavers Grey Color with compressive strength</t>
    </r>
    <r>
      <rPr>
        <b/>
        <sz val="12"/>
        <rFont val="Times New Roman"/>
        <family val="1"/>
      </rPr>
      <t xml:space="preserve"> M35 or above</t>
    </r>
    <r>
      <rPr>
        <sz val="12"/>
        <rFont val="Times New Roman"/>
        <family val="1"/>
      </rPr>
      <t xml:space="preserve">. </t>
    </r>
    <r>
      <rPr>
        <b/>
        <sz val="12"/>
        <rFont val="Times New Roman"/>
        <family val="1"/>
      </rPr>
      <t>Thickness: 80mm, Dimension: 200*200*80</t>
    </r>
    <r>
      <rPr>
        <sz val="12"/>
        <rFont val="Times New Roman"/>
        <family val="1"/>
      </rPr>
      <t xml:space="preserve"> </t>
    </r>
    <r>
      <rPr>
        <b/>
        <sz val="12"/>
        <rFont val="Times New Roman"/>
        <family val="1"/>
      </rPr>
      <t>(Local Machine Made)</t>
    </r>
  </si>
  <si>
    <t>Quotation</t>
  </si>
  <si>
    <r>
      <t xml:space="preserve">Rectangular Interlock Pavers Grey Color with compressive strength </t>
    </r>
    <r>
      <rPr>
        <b/>
        <sz val="12"/>
        <rFont val="Times New Roman"/>
        <family val="1"/>
      </rPr>
      <t>M30 or above. Thickness: 60mm, Dimension:200*100*60 (Local Machine Made)</t>
    </r>
  </si>
  <si>
    <r>
      <t xml:space="preserve">Rectangular Interlock Pavers Grey Color with compressive strength </t>
    </r>
    <r>
      <rPr>
        <b/>
        <sz val="12"/>
        <rFont val="Times New Roman"/>
        <family val="1"/>
      </rPr>
      <t>M35 or above. Thickness: 80mm, Dimension:200*100*80 (Local Machine Made)</t>
    </r>
  </si>
  <si>
    <r>
      <t xml:space="preserve">Zigzag Interlock Pavers Grey Color with compressive strength </t>
    </r>
    <r>
      <rPr>
        <b/>
        <sz val="12"/>
        <rFont val="Times New Roman"/>
        <family val="1"/>
      </rPr>
      <t>M30 or above. Thickness: 60mm, Dimension:225*125*60</t>
    </r>
    <r>
      <rPr>
        <sz val="12"/>
        <rFont val="Times New Roman"/>
        <family val="1"/>
      </rPr>
      <t xml:space="preserve"> </t>
    </r>
    <r>
      <rPr>
        <b/>
        <sz val="12"/>
        <rFont val="Times New Roman"/>
        <family val="1"/>
      </rPr>
      <t>(Local Machine Made)</t>
    </r>
  </si>
  <si>
    <r>
      <t xml:space="preserve">Zigzag Interlock Pavers Grey Color with compressive strength </t>
    </r>
    <r>
      <rPr>
        <b/>
        <sz val="12"/>
        <rFont val="Times New Roman"/>
        <family val="1"/>
      </rPr>
      <t>M35 or above. Thickness: 80mm, Dimension:225*125*80</t>
    </r>
    <r>
      <rPr>
        <sz val="12"/>
        <rFont val="Times New Roman"/>
        <family val="1"/>
      </rPr>
      <t xml:space="preserve"> </t>
    </r>
    <r>
      <rPr>
        <b/>
        <sz val="12"/>
        <rFont val="Times New Roman"/>
        <family val="1"/>
      </rPr>
      <t>(Local Machine Made)</t>
    </r>
  </si>
  <si>
    <r>
      <t xml:space="preserve">I-shaped Interlock Pavers Gray colour with Compressive Strength </t>
    </r>
    <r>
      <rPr>
        <b/>
        <sz val="12"/>
        <rFont val="Times New Roman"/>
        <family val="1"/>
      </rPr>
      <t>M30 or above. Thickness 60mm. Dimension 200*150*60</t>
    </r>
  </si>
  <si>
    <r>
      <t xml:space="preserve">I-shaped Interlock Pavers Gray colour with Compressive Strength </t>
    </r>
    <r>
      <rPr>
        <b/>
        <sz val="12"/>
        <rFont val="Times New Roman"/>
        <family val="1"/>
      </rPr>
      <t>M35 or above. Thickness 80mm. Dimension 200*150*80</t>
    </r>
  </si>
  <si>
    <t>Kerbstone (Local Machine Made)</t>
  </si>
  <si>
    <r>
      <t xml:space="preserve">Kerbstone Grey Color with compressive strength </t>
    </r>
    <r>
      <rPr>
        <b/>
        <sz val="12"/>
        <rFont val="Times New Roman"/>
        <family val="1"/>
      </rPr>
      <t>M20. Thickness: 300mm, Dimension:300*300*150 (LxBxH) (Local Machine Made)</t>
    </r>
  </si>
  <si>
    <r>
      <t xml:space="preserve">Kerbstone Grey Color with compressive strength </t>
    </r>
    <r>
      <rPr>
        <b/>
        <sz val="12"/>
        <rFont val="Times New Roman"/>
        <family val="1"/>
      </rPr>
      <t xml:space="preserve">M20. Thickness: 200mm, Dimension:380*200*250 (LxBxH) (Local Machine Made) </t>
    </r>
  </si>
  <si>
    <r>
      <t xml:space="preserve">Kerbstone Grey Color with compressive strength </t>
    </r>
    <r>
      <rPr>
        <b/>
        <sz val="12"/>
        <rFont val="Times New Roman"/>
        <family val="1"/>
      </rPr>
      <t xml:space="preserve">M20. Thickness: 300mm, Dimension:350*300*200 (LxBxH)(Local Machine Made) </t>
    </r>
  </si>
  <si>
    <r>
      <t xml:space="preserve">Kerbstone Grey Color with compressive strength </t>
    </r>
    <r>
      <rPr>
        <b/>
        <sz val="12"/>
        <rFont val="Times New Roman"/>
        <family val="1"/>
      </rPr>
      <t xml:space="preserve">M25. Thickness: 200mm, Dimension:380*200*250 (LxBxH)(Local Machine Made) </t>
    </r>
  </si>
  <si>
    <r>
      <t xml:space="preserve">Kerbstone Grey Color with compressive strength </t>
    </r>
    <r>
      <rPr>
        <b/>
        <sz val="12"/>
        <rFont val="Times New Roman"/>
        <family val="1"/>
      </rPr>
      <t xml:space="preserve">M25. Thickness: 300mm, Dimension:350*300*200 (LxBxH)(Local Machine Made) </t>
    </r>
  </si>
  <si>
    <t xml:space="preserve">Power cell battries </t>
  </si>
  <si>
    <t>Pcs.</t>
  </si>
  <si>
    <t xml:space="preserve">नवलपरासी (बर्दघाट सुस्ता पश्चिम) जिल्लाको </t>
  </si>
  <si>
    <t>आ.व. २०८३/०८४ को दररेट</t>
  </si>
  <si>
    <t>Mar/Apr 025/26</t>
  </si>
  <si>
    <t>चैत्र 082/83</t>
  </si>
  <si>
    <t xml:space="preserve">अर्ध दक्ष कामदार : ज्यामी नाइके </t>
  </si>
  <si>
    <t>‍</t>
  </si>
  <si>
    <t>बोलेरो ४ व्हील डबल क्याब वा सो सरहको पिकअप भाडा ईन्धन र चालक समेत</t>
  </si>
  <si>
    <t>बोलेरो ४ व्हील डबल क्याब वा सो सरहको पिकअप भाडा ईन्धन बहेक र चालक समेत</t>
  </si>
  <si>
    <t>स्करपियो ४ व्हील डबल क्याब वा सो सरहको पिकअप भाडा ईन्धन र चालक समेत</t>
  </si>
  <si>
    <t>स्करपियो ४ व्हील डबल क्याब वा सो सरहको पिकअप भाडा ईन्धन बाहेक र चालक समेत</t>
  </si>
  <si>
    <t>बागलुङ कालिका क्रसर प्रति फुट</t>
  </si>
  <si>
    <t>महादेवा कन्स्ट्रक्सन सियारी</t>
  </si>
  <si>
    <t>Crusher Run Material (45mm-75 micron) (For Base)</t>
  </si>
  <si>
    <t>त्रिवेणी क्रसर उद्योग</t>
  </si>
  <si>
    <t xml:space="preserve">नेचुरल गिटी/ग्राभल  </t>
  </si>
  <si>
    <t xml:space="preserve">क्रसरको गिटी </t>
  </si>
  <si>
    <t>Palpa</t>
  </si>
  <si>
    <t>नवलपुर 82/83</t>
  </si>
  <si>
    <t>81-82 चैत र 82-83 चैतको बढोत्तरी = 2.27%</t>
  </si>
  <si>
    <t>प्रस्तावित रेट @2% बढोत्तरी</t>
  </si>
  <si>
    <t>manual &amp; Electric , Cement rate constant</t>
  </si>
  <si>
    <t>1cum=</t>
  </si>
  <si>
    <t>रुपन्देही (क्यूफीट)</t>
  </si>
  <si>
    <t>रुपन्देही (Cum)</t>
  </si>
  <si>
    <t>Only 0.88% increment in plastic products</t>
  </si>
  <si>
    <t>रुपन्देही (प्रत्येक वर्ष वृद्धी भइरहेको)</t>
  </si>
  <si>
    <t>Per Hour/Shift</t>
  </si>
  <si>
    <t>Indreni</t>
  </si>
  <si>
    <t>Chaitanya</t>
  </si>
  <si>
    <t>Reflective Tape (२" चौडाइ, १५० ' लम्बाई)</t>
  </si>
  <si>
    <t>नवलपुर</t>
  </si>
  <si>
    <r>
      <t xml:space="preserve">Stainless steel railing with </t>
    </r>
    <r>
      <rPr>
        <u/>
        <sz val="9"/>
        <rFont val="Times New Roman"/>
        <family val="1"/>
      </rPr>
      <t>2"øtop</t>
    </r>
    <r>
      <rPr>
        <sz val="9"/>
        <rFont val="Times New Roman"/>
        <family val="1"/>
      </rPr>
      <t xml:space="preserve">, </t>
    </r>
    <r>
      <rPr>
        <u/>
        <sz val="9"/>
        <rFont val="Times New Roman"/>
        <family val="1"/>
      </rPr>
      <t>1.5"</t>
    </r>
    <r>
      <rPr>
        <sz val="9"/>
        <rFont val="Times New Roman"/>
        <family val="1"/>
      </rPr>
      <t xml:space="preserve">ø middle &amp; buttam pipe in </t>
    </r>
    <r>
      <rPr>
        <b/>
        <u/>
        <sz val="9"/>
        <rFont val="Times New Roman"/>
        <family val="1"/>
      </rPr>
      <t>4 rows</t>
    </r>
    <r>
      <rPr>
        <sz val="9"/>
        <rFont val="Times New Roman"/>
        <family val="1"/>
      </rPr>
      <t>, 2"ø post @ 1mtr. c/c finish clear height including the cost of materails, labor &amp; fixing &amp; fitting all complete</t>
    </r>
  </si>
  <si>
    <t>82-83</t>
  </si>
  <si>
    <t>83-84</t>
  </si>
  <si>
    <t>FY</t>
  </si>
  <si>
    <t>१२ इन्च ३२ मि.मि.को छिनो</t>
  </si>
  <si>
    <t>अति साधारण झोला</t>
  </si>
  <si>
    <t>सेफ्टी बेल्ट</t>
  </si>
  <si>
    <t>चस्मा</t>
  </si>
  <si>
    <t>खानेपानी मर्मतको टुलबक्स</t>
  </si>
  <si>
    <t>आवश्यक औजार सहितको झो.पु. मर्मतको लागि टुलबक्स</t>
  </si>
  <si>
    <t>आवश्यक औषधी सहितको प्राथमिक उपचारको बक्स</t>
  </si>
  <si>
    <t>टेफ्लन कभर ६"x६"</t>
  </si>
  <si>
    <t>तारपोलिन सिट १८X३४ फिट</t>
  </si>
  <si>
    <t>पाइप भाइस ३" सम्म</t>
  </si>
  <si>
    <t>पाइप भाइस 4" सम्म</t>
  </si>
  <si>
    <t>पाइप रेन्च १२"</t>
  </si>
  <si>
    <t>पाइप रेन्च १४"</t>
  </si>
  <si>
    <t>पाइप रेन्च १८"</t>
  </si>
  <si>
    <t>पाइप रेन्च २४"</t>
  </si>
  <si>
    <t>एडजस्टेवल रेन्च १०"</t>
  </si>
  <si>
    <t>एडजस्टेवल रेन्च १२"</t>
  </si>
  <si>
    <t>एडजस्टेवल रेन्च १८"</t>
  </si>
  <si>
    <t>३ मिटरको स्टिल टेप</t>
  </si>
  <si>
    <t>५ मिटरको स्टिल टेप</t>
  </si>
  <si>
    <t>३० मिटरको फाइबर ग्लास टेप</t>
  </si>
  <si>
    <t>५० मिटरको फाइबर ग्लास टेप</t>
  </si>
  <si>
    <t>हिटिङ प्लेट ३ इन्च व्यासको</t>
  </si>
  <si>
    <t>हिटिङ प्लेट ४ इन्च व्यासको</t>
  </si>
  <si>
    <t>हिटिङ प्लेट ६ इन्च व्यासको</t>
  </si>
  <si>
    <t>हिटिङ प्लेट ८ इन्च व्यासको</t>
  </si>
  <si>
    <t>d];g x]8 Kofg kmnfdsf]  !* Ogr nf]sn</t>
  </si>
  <si>
    <t>३६ इन्च चेन रेन्च</t>
  </si>
  <si>
    <t>४८ इन्च चेन रेन्च</t>
  </si>
  <si>
    <t>Bhairav</t>
  </si>
  <si>
    <t>MK Industries</t>
  </si>
  <si>
    <t>Mk Industries</t>
  </si>
  <si>
    <t>Diff wrt Indreni</t>
  </si>
  <si>
    <t>Diff wrt Chaitanya</t>
  </si>
  <si>
    <t>82/83</t>
  </si>
  <si>
    <t>83/84</t>
  </si>
  <si>
    <t xml:space="preserve">सिचाइबाट ३०० प्रस्ताव गरीएको </t>
  </si>
  <si>
    <t>फरक</t>
  </si>
  <si>
    <t>लेवरको भुमिका हुने आइटममा मात्र</t>
  </si>
  <si>
    <t>ग्रेडिङ</t>
  </si>
  <si>
    <t>काठ कटान मुछान</t>
  </si>
  <si>
    <t>यार्डिङ</t>
  </si>
  <si>
    <t>लोडिङ</t>
  </si>
  <si>
    <t>अनलोडिङ</t>
  </si>
  <si>
    <t>बोक्रा झिक्ने / रिङ काट्ने</t>
  </si>
  <si>
    <t>पायलिङ</t>
  </si>
  <si>
    <t>प्रति घ.फिट</t>
  </si>
  <si>
    <t xml:space="preserve">नोट : रुख प्रजाति, फलफुलका विरुवा वा यस्तै प्रकारका अन्य विरुवाको हकमा जिल्ला वन कार्यालयबाट तोकिएको दररेट कायम गर्न सकिनेछ । </t>
  </si>
  <si>
    <t>भैरव कंक्रिट</t>
  </si>
  <si>
    <t>एम के इन्डस्ट्रिज</t>
  </si>
  <si>
    <r>
      <t xml:space="preserve">जियोटेक्सटाइल (1000 </t>
    </r>
    <r>
      <rPr>
        <sz val="10"/>
        <rFont val="Times New Roman"/>
        <family val="1"/>
      </rPr>
      <t>Terram or equivalent)</t>
    </r>
  </si>
  <si>
    <r>
      <t xml:space="preserve">जियोटेक्सटाइल (२000 </t>
    </r>
    <r>
      <rPr>
        <sz val="10"/>
        <rFont val="Times New Roman"/>
        <family val="1"/>
      </rPr>
      <t>Terram or equivalent)</t>
    </r>
  </si>
  <si>
    <t>meccaferri</t>
  </si>
  <si>
    <t>200g/m2</t>
  </si>
  <si>
    <t>wt</t>
  </si>
  <si>
    <t>150 g/m2</t>
  </si>
  <si>
    <t>T1000</t>
  </si>
  <si>
    <t>T2000</t>
  </si>
  <si>
    <t>133.33 g/m2</t>
  </si>
  <si>
    <t>222.22 g/m2</t>
  </si>
  <si>
    <t>:of)*ljr jfn Kofgn</t>
  </si>
  <si>
    <t>Meccaferri</t>
  </si>
  <si>
    <t>increment rate 4.04% as per WPI</t>
  </si>
  <si>
    <t>हाल कायम भएको प्रति फुट</t>
  </si>
  <si>
    <t>७५ से.मि. व्यास र ३० से.मि. उचाइ</t>
  </si>
  <si>
    <t>९० से.मि. व्यास र ३० से.मि. उचाइ</t>
  </si>
  <si>
    <t>१२० से.मि. व्यास र ३० से.मि. उचाइ</t>
  </si>
  <si>
    <t>कंक्रिट रिङ र कभर</t>
  </si>
  <si>
    <t>रिङ कभर - ७५ से.मि. व्यास</t>
  </si>
  <si>
    <t>रिङ कभर - ९० से.मि. व्यास</t>
  </si>
  <si>
    <t>रिङ कभर - १२० से.मि. व्यास</t>
  </si>
  <si>
    <t>6 फिट उचाइ</t>
  </si>
  <si>
    <t>७ फिट उचाइ</t>
  </si>
  <si>
    <t>10% increment wrt RUP</t>
  </si>
  <si>
    <t>RUP with Transport</t>
  </si>
  <si>
    <t>नोटः</t>
  </si>
  <si>
    <t>माथि उल्लेख नभएका ढुवानीको हकमा प्रचलित कानुन बमोजिम हुनेछ ।</t>
  </si>
  <si>
    <t>निर्माण सामाग्रीको ढुवानी सम्बन्धमा नेपाल सरकारले स्वीकृत गरेको नर्मस प्रयोग गरी आवश्यकता अनुसार ढुवानी भाडा कायम गर्न बाधा पर्ने छैन ।</t>
  </si>
  <si>
    <r>
      <t xml:space="preserve">Readymade door shutter Recon. Special </t>
    </r>
    <r>
      <rPr>
        <b/>
        <sz val="10"/>
        <rFont val="Times New Roman"/>
        <family val="1"/>
      </rPr>
      <t>(1 side teak)</t>
    </r>
  </si>
  <si>
    <r>
      <t xml:space="preserve">Readymade door shutter Recon. Special </t>
    </r>
    <r>
      <rPr>
        <b/>
        <sz val="10"/>
        <rFont val="Times New Roman"/>
        <family val="1"/>
      </rPr>
      <t>(Both side teak)</t>
    </r>
  </si>
  <si>
    <r>
      <t xml:space="preserve">Readymade door shutter Recon. Ordinary </t>
    </r>
    <r>
      <rPr>
        <sz val="10"/>
        <rFont val="Times New Roman"/>
        <family val="1"/>
      </rPr>
      <t>(</t>
    </r>
    <r>
      <rPr>
        <b/>
        <sz val="10"/>
        <rFont val="Times New Roman"/>
        <family val="1"/>
      </rPr>
      <t>1 side teak)</t>
    </r>
  </si>
  <si>
    <r>
      <t xml:space="preserve">Readymade door shutter Recon. Ordinary </t>
    </r>
    <r>
      <rPr>
        <b/>
        <sz val="10"/>
        <rFont val="Times New Roman"/>
        <family val="1"/>
      </rPr>
      <t>(1 side teak)</t>
    </r>
  </si>
  <si>
    <r>
      <rPr>
        <b/>
        <sz val="9"/>
        <rFont val="Times New Roman"/>
        <family val="1"/>
      </rPr>
      <t>Aluminium Partation</t>
    </r>
    <r>
      <rPr>
        <sz val="9"/>
        <rFont val="Times New Roman"/>
        <family val="1"/>
      </rPr>
      <t xml:space="preserve">  aluminium  (section 62mm x38mmx1.5mm)with 5mm thick clear glass  with water proof sheet including meterials, labour, fixing &amp; fittings all complete</t>
    </r>
  </si>
  <si>
    <r>
      <rPr>
        <b/>
        <sz val="9"/>
        <rFont val="Times New Roman"/>
        <family val="1"/>
      </rPr>
      <t>Aluminium ventilation louver</t>
    </r>
    <r>
      <rPr>
        <sz val="9"/>
        <rFont val="Times New Roman"/>
        <family val="1"/>
      </rPr>
      <t xml:space="preserve"> with naturally anodized aluminium (section 101.6mm x44mmx1.5mm) with 5mm thick clear glass including materials, labour, fixing &amp; fittings all complete</t>
    </r>
  </si>
  <si>
    <t xml:space="preserve">ह्यूमपाइपको सकेट (कलर) को मुल्य (पाइपको मुयको आधारमा) </t>
  </si>
  <si>
    <t>विद्युत सम्बन्धी</t>
  </si>
  <si>
    <t xml:space="preserve">पि.भि.सि. च्यानल बिट </t>
  </si>
  <si>
    <t>एम. सि. बी.</t>
  </si>
  <si>
    <t xml:space="preserve">१० एम्पियर </t>
  </si>
  <si>
    <t xml:space="preserve">२० एम्पियर </t>
  </si>
  <si>
    <t xml:space="preserve">३० एम्पियर </t>
  </si>
  <si>
    <t xml:space="preserve">४५ एम्पियर </t>
  </si>
  <si>
    <t xml:space="preserve">६३ एम्पियर </t>
  </si>
  <si>
    <t xml:space="preserve">६ एम्पियर </t>
  </si>
  <si>
    <t xml:space="preserve">१६ एम्पियर </t>
  </si>
  <si>
    <t>चिम (बल्ब)</t>
  </si>
  <si>
    <t>D</t>
  </si>
  <si>
    <t>E</t>
  </si>
  <si>
    <t>F</t>
  </si>
  <si>
    <t>G</t>
  </si>
  <si>
    <t>Contractor</t>
  </si>
  <si>
    <t>% difference from average</t>
  </si>
  <si>
    <t>AVERAGE (m)</t>
  </si>
  <si>
    <t>Bid Amount (X)</t>
  </si>
  <si>
    <t>Difference from average(X-M)</t>
  </si>
  <si>
    <t>(X-M)2</t>
  </si>
  <si>
    <t>Sum</t>
  </si>
  <si>
    <t>Standard Deviation (Sd)</t>
  </si>
  <si>
    <t>Estimate</t>
  </si>
  <si>
    <t>himstar</t>
  </si>
  <si>
    <t>Baltra</t>
  </si>
  <si>
    <t>Pioneer</t>
  </si>
  <si>
    <t>Bhusal</t>
  </si>
  <si>
    <t>145/kg of 19mm PVC</t>
  </si>
  <si>
    <t>SP</t>
  </si>
  <si>
    <t>पि.भि.सि. पाईप (वायरिङको लागि)</t>
  </si>
  <si>
    <t>पि.भि.सि. बोर्ड (प्लास्टिक)</t>
  </si>
  <si>
    <t xml:space="preserve">फाइवर प्लेट </t>
  </si>
  <si>
    <r>
      <rPr>
        <b/>
        <sz val="10"/>
        <rFont val="Kalimati"/>
        <charset val="1"/>
      </rPr>
      <t xml:space="preserve">ज्याला </t>
    </r>
    <r>
      <rPr>
        <b/>
        <sz val="10"/>
        <rFont val="Times New Roman"/>
        <family val="1"/>
      </rPr>
      <t xml:space="preserve"> </t>
    </r>
    <r>
      <rPr>
        <sz val="10"/>
        <rFont val="Times New Roman"/>
        <family val="1"/>
      </rPr>
      <t xml:space="preserve"> Erection of PSC pole (8m,9m)</t>
    </r>
  </si>
  <si>
    <t>विद्यूतको लाइनसँगैको हाँगाविँगा काट्ने</t>
  </si>
  <si>
    <t>सामान बाहेक कन्सिल वायरिङ्ग गर्ने कार्यको ज्याला</t>
  </si>
  <si>
    <t>सामान बाहेक सर्फेस वायरिङ्ग गर्ने कार्यको ज्याला</t>
  </si>
  <si>
    <t>सामान सहित कन्सिल वायरिङ्ग गर्ने कार्यको ज्याला</t>
  </si>
  <si>
    <t>सामान सहित सर्फेस वायरिङ्ग गर्ने कार्यको ज्याला</t>
  </si>
  <si>
    <t>मेन सर्भिसलाइन केवल ६ मि.मि. (कन्सेन्ट्रिक केवल)</t>
  </si>
  <si>
    <t xml:space="preserve">सरफेस स्वीच </t>
  </si>
  <si>
    <t xml:space="preserve">सरफेस बेलपूस </t>
  </si>
  <si>
    <t xml:space="preserve">एङ्गल होल्डर </t>
  </si>
  <si>
    <t xml:space="preserve">पंखाको रेगुलेटर </t>
  </si>
  <si>
    <t>पावर प्लग - १५ एम्पियर</t>
  </si>
  <si>
    <t>सिलिङ रोज</t>
  </si>
  <si>
    <t>थ्रि पिन प्लग -५ एम्पियर</t>
  </si>
  <si>
    <t>टु पिन प्लग -५ एम्पियर</t>
  </si>
  <si>
    <t>ट्यूवलाइट सेट ४ फिट (४० वाट)</t>
  </si>
  <si>
    <t>ट्यूवलाइट सेट २ फिट (२० वाट)</t>
  </si>
  <si>
    <t>ट्यूवलाइट ४ फिट (४० वाट)</t>
  </si>
  <si>
    <t>ट्यूवलाइट २ फिट (२० वाट)</t>
  </si>
  <si>
    <t>चोक लाइट सेट ४ फिट (४० वाट)</t>
  </si>
  <si>
    <t>चोक लाइट सेट ४ फिट (२० वाट)</t>
  </si>
  <si>
    <t>स्टार्टर</t>
  </si>
  <si>
    <t>स्याडल</t>
  </si>
  <si>
    <t>बेण्ड</t>
  </si>
  <si>
    <t>सकेट</t>
  </si>
  <si>
    <t>जक्सन</t>
  </si>
  <si>
    <t>टेप पि.भि.सि.</t>
  </si>
  <si>
    <t>ग्रिप्स</t>
  </si>
  <si>
    <t>मेन स्वीच ३० एम्पियर</t>
  </si>
  <si>
    <t>इन्डिकेटर</t>
  </si>
  <si>
    <t>फ्यूज</t>
  </si>
  <si>
    <t>ए.सी. पाइप ४"डायामिटर</t>
  </si>
  <si>
    <t>ए.सी.केवल ४"डायामिटर</t>
  </si>
  <si>
    <t>ए.सी.केवल ३"डायामिटर</t>
  </si>
  <si>
    <t>ए.सी. टी ३" डायामिटर</t>
  </si>
  <si>
    <t>ए.सी. टी ४" डायामिटर</t>
  </si>
  <si>
    <t>ए.सी. जक्सन ३"डायामिटर</t>
  </si>
  <si>
    <t>ए.सी. जक्सन ४"डायामिटर</t>
  </si>
  <si>
    <t>पंखा ४८" रेगुलेटर समेत</t>
  </si>
  <si>
    <t>एक्जस्ट फ्यान १२" देखि १४" सम्म</t>
  </si>
  <si>
    <t>डोम लाइट ४० वाट</t>
  </si>
  <si>
    <t>बल्ब हेड लेम्प</t>
  </si>
  <si>
    <t>म्यूजिकल बेल</t>
  </si>
  <si>
    <t>साइकल बेल</t>
  </si>
  <si>
    <t>सब-मिटर</t>
  </si>
  <si>
    <t>डि.बी. मेन स्वीच ३० एम्पियर</t>
  </si>
  <si>
    <t>1/2" काठको लिस्टी</t>
  </si>
  <si>
    <t>16 mm, 7 फिट रड भएको स्टे सेट (४ मि.मि.)</t>
  </si>
  <si>
    <t>7/12 SWG स्टेवायर</t>
  </si>
  <si>
    <t>Pioneer Cable</t>
  </si>
  <si>
    <t>विभिन्न साइजको फलामे डन्डी-Fe500 (NS or Equivalent)</t>
  </si>
  <si>
    <t>10, 12 &amp; 16 mm</t>
  </si>
  <si>
    <t>20 mm</t>
  </si>
  <si>
    <t xml:space="preserve">4.75 to 7mm dia </t>
  </si>
  <si>
    <t>8, 25, 28 &amp; 32 mm</t>
  </si>
  <si>
    <t>बाइन्डिङ तार</t>
  </si>
  <si>
    <t>काँडे तार</t>
  </si>
  <si>
    <r>
      <t>काँडे तार १२ गेज हेभी कोटेड NS</t>
    </r>
    <r>
      <rPr>
        <sz val="10"/>
        <rFont val="Times New Roman"/>
        <family val="1"/>
      </rPr>
      <t>168</t>
    </r>
  </si>
  <si>
    <r>
      <t>काँडे तार १४ गेज हेभी कोटेड NS</t>
    </r>
    <r>
      <rPr>
        <sz val="10"/>
        <rFont val="Times New Roman"/>
        <family val="1"/>
      </rPr>
      <t>168</t>
    </r>
  </si>
  <si>
    <t>विभिन्न साइजको किल्ला काँटी</t>
  </si>
  <si>
    <t>फलामे ग्रील/गेट/सटर आदी</t>
  </si>
  <si>
    <t>कोल्याप्सिबल गेट (जडान र पेन्ट समेत)</t>
  </si>
  <si>
    <t>रोलिङ सटर (जडान र पेन्ट समेत)</t>
  </si>
  <si>
    <t>फलामे गेट (जडान र पेन्ट समेत)</t>
  </si>
  <si>
    <t>स्क्वायर पाइप गेट/रेलिङ जडान र पेन्ट समेत</t>
  </si>
  <si>
    <t>एमएस ब्ल्याक पाइपको तयारी ट्यूबुलर ट्रस</t>
  </si>
  <si>
    <t>फलामे ग्रील जडान समेत पाताको</t>
  </si>
  <si>
    <t>फलामे ग्रील जडान समेत स्क्वायर रडको</t>
  </si>
  <si>
    <t>विभिन्न साइजको एमएस एङ्गल/एमएस च्यानल वेल्डिङ्ग समेत</t>
  </si>
  <si>
    <t>विभिन्न साइजको एमएस सीट</t>
  </si>
  <si>
    <t>हेभी कोटेड</t>
  </si>
  <si>
    <t>मिडियम कोटेड</t>
  </si>
  <si>
    <t>कमर्सियल</t>
  </si>
  <si>
    <t>प्रति बक्सा</t>
  </si>
  <si>
    <t>जि.आइ. वायर (ग्याबियन, विभिन्न गेज ८,१०)</t>
  </si>
  <si>
    <t>जि.आइ. वायर (ग्याबियन, १२ गेज)</t>
  </si>
  <si>
    <t>बक्स साइज 1.5x1x0.5</t>
  </si>
  <si>
    <t>बक्स साइज 2x1x0.5 (एक डायफ्राम समेत)</t>
  </si>
  <si>
    <t>बक्स साइज ३x1x0.5 (दुई डायफ्राम समेत)</t>
  </si>
  <si>
    <t>बक्स साइज ४x1x0.5 (तीन डायफ्राम समेत)</t>
  </si>
  <si>
    <t>बक्स साइज 1.5x1x1</t>
  </si>
  <si>
    <t>बक्स साइज २x1x१ (एक डायफ्राम समेत)</t>
  </si>
  <si>
    <t>बक्स साइज ३x1x१ (दुई डायफ्राम समेत)</t>
  </si>
  <si>
    <t>बक्स साइज ४x1x१ (तीन डायफ्राम समेत)</t>
  </si>
  <si>
    <t>बक्स साइज ३x२x0.5 (दुई डायफ्राम समेत)</t>
  </si>
  <si>
    <t>बक्स साइज ४x२x0.5 (तीन डायफ्राम समेत)</t>
  </si>
  <si>
    <t>बक्स साइज ५x२x0.5 (चार डायफ्राम समेत)</t>
  </si>
  <si>
    <t>बक्स साइज ३X२X१ (दुई डायफ्राम समेत)</t>
  </si>
  <si>
    <t>बक्स साइज ४X२X१ (तीन डायफ्राम समेत)</t>
  </si>
  <si>
    <t>बक्स साइज ३X1.5X0.5 (दुई डायफ्राम समेत)</t>
  </si>
  <si>
    <t>बक्स साइज ४X1.5X0.5 (तीन डायफ्राम समेत)</t>
  </si>
  <si>
    <t>बक्स साइज ५X1.5X0.5 (चार डायफ्राम समेत)</t>
  </si>
  <si>
    <t>बक्स साइज ३X1.5X1 (दुई डायफ्राम समेत)</t>
  </si>
  <si>
    <t>बक्स साइज ४X1.5X1 (तीन डायफ्राम समेत)</t>
  </si>
  <si>
    <t>बक्स साइज ५X1.5X1 (चार डायफ्राम समेत)</t>
  </si>
  <si>
    <t>एन.एस. १६३/१६९ अनुसारको हेभी जिङ्क कोटेड जि.आई. मेस तार ३.0 मि.मि., सेल्भेज तार ३.९ मि.मि., लेसिङ तार २.४ मि.मि. प्रयोग गरी डबल ट्विस्टेड हेक्सागनल मेस साइज १००X१२० मि.मि. को मेसिनबाट बुनेको ग्याबियन बक्स ( ढुवानी बाहेकको एक्स फेक्ट्री मुल्य)</t>
  </si>
  <si>
    <t>एन.एस. १६३/१६९ अनुसारको हेभी जिङ्क कोटेड जि.आई. मेस तार २.७(ID)/३.७(OD) मि.मि., सेल्भेज तार ३.४(ID)/४.४(OD) मि.मि., लेसिङ तार २.२(ID)/३.२(OD) मि.मि. प्रयोग गरी डबल ट्विस्टेड हेक्सागनल मेस साइज १००X१२० मि.मि. को मेसिनबाट बुनेको ग्याबियन बक्स (पि.भि.सी कोटिङ सहित) ( ढुवानी बाहेकको एक्स फेक्ट्री मुल्य)</t>
  </si>
  <si>
    <t>एन.एस. १६३/१६९ अनुसारको हेभी जिङ्क कोटेड जि.आई. मेस तार २.७ मि.मि., सेल्भेज तार ३.४ मि.मि., लेसिङ तार २.२ मि.मि. प्रयोग गरी डबल ट्विस्टेड हेक्सागनल मेस साइज १००X१२० मि.मि. को मेसिनबाट बुनेको ग्याबियन बक्स ( ढुवानी बाहेकको एक्स फेक्ट्री मुल्य)</t>
  </si>
  <si>
    <r>
      <t xml:space="preserve">Fiber glass sheet  छाउनको लागि </t>
    </r>
    <r>
      <rPr>
        <sz val="10"/>
        <rFont val="Times New Roman"/>
        <family val="1"/>
      </rPr>
      <t>Aluminium strip (25x1.5)mm</t>
    </r>
  </si>
  <si>
    <t>Ambe</t>
  </si>
  <si>
    <t>Laxmi</t>
  </si>
  <si>
    <r>
      <t xml:space="preserve">Cobble Interlock Pavers Grey Colour with Compressive Strength M40 or above . </t>
    </r>
    <r>
      <rPr>
        <b/>
        <sz val="12"/>
        <rFont val="Times New Roman"/>
        <family val="1"/>
      </rPr>
      <t>Thickness:80mm, Dimensions:100X100X80 (NS Standard)</t>
    </r>
  </si>
  <si>
    <r>
      <t xml:space="preserve">Cobble Interlock Pavers Single Colour with Compressive Strength M40 or above . </t>
    </r>
    <r>
      <rPr>
        <b/>
        <sz val="12"/>
        <rFont val="Times New Roman"/>
        <family val="1"/>
      </rPr>
      <t>Thickness:80mm, Dimensions:100X100X80 (NS Standard)</t>
    </r>
  </si>
  <si>
    <r>
      <t xml:space="preserve">Cobble Interlock Pavers Blended Colour with Compressive Strength M40 or above . </t>
    </r>
    <r>
      <rPr>
        <b/>
        <sz val="12"/>
        <rFont val="Times New Roman"/>
        <family val="1"/>
      </rPr>
      <t>Thickness:80mm, Dimensions:100X100X80 (NS Standard)</t>
    </r>
  </si>
  <si>
    <r>
      <t xml:space="preserve">Interlock Pavers Grey Color with compressive strength </t>
    </r>
    <r>
      <rPr>
        <b/>
        <sz val="12"/>
        <rFont val="Times New Roman"/>
        <family val="1"/>
      </rPr>
      <t>M40 or above. Thickness: 80mm, Dimension:200*200*80</t>
    </r>
    <r>
      <rPr>
        <sz val="12"/>
        <rFont val="Times New Roman"/>
        <family val="1"/>
      </rPr>
      <t xml:space="preserve"> (NS Standard)</t>
    </r>
  </si>
  <si>
    <r>
      <t xml:space="preserve">Interlock Pavers Single Color with compressive strength </t>
    </r>
    <r>
      <rPr>
        <b/>
        <sz val="12"/>
        <rFont val="Times New Roman"/>
        <family val="1"/>
      </rPr>
      <t>M40 or above. Thickness: 80mm, Dimension:200*200*80</t>
    </r>
    <r>
      <rPr>
        <sz val="12"/>
        <rFont val="Times New Roman"/>
        <family val="1"/>
      </rPr>
      <t xml:space="preserve"> (NS Standard)</t>
    </r>
  </si>
  <si>
    <r>
      <t xml:space="preserve">Interlock Pavers Blended Color with compressive strength </t>
    </r>
    <r>
      <rPr>
        <b/>
        <sz val="12"/>
        <rFont val="Times New Roman"/>
        <family val="1"/>
      </rPr>
      <t>M40 or above. Thickness: 80mm, Dimension:200*200*80</t>
    </r>
    <r>
      <rPr>
        <sz val="12"/>
        <rFont val="Times New Roman"/>
        <family val="1"/>
      </rPr>
      <t xml:space="preserve"> (NS Standard)</t>
    </r>
  </si>
  <si>
    <r>
      <t xml:space="preserve">Interlock With Cobble Pavers Grey Color with compressive strength </t>
    </r>
    <r>
      <rPr>
        <b/>
        <sz val="12"/>
        <rFont val="Times New Roman"/>
        <family val="1"/>
      </rPr>
      <t>M40 or above. Thickness: 80mm, Dimension:200*200*80 (NS Standard)</t>
    </r>
  </si>
  <si>
    <r>
      <t xml:space="preserve">Interlock With Cobble Pavers Single Color with compressive strength </t>
    </r>
    <r>
      <rPr>
        <b/>
        <sz val="12"/>
        <rFont val="Times New Roman"/>
        <family val="1"/>
      </rPr>
      <t>M40 or above. Thickness: 80mm, Dimension:200*200*80 (NS Standard)</t>
    </r>
  </si>
  <si>
    <r>
      <t xml:space="preserve">Interlock With Cobble Pavers Blended Color with compressive strength </t>
    </r>
    <r>
      <rPr>
        <b/>
        <sz val="12"/>
        <rFont val="Times New Roman"/>
        <family val="1"/>
      </rPr>
      <t>M40 or above. Thickness: 80mm, Dimension:200*200*80 (NS Standard)</t>
    </r>
  </si>
  <si>
    <r>
      <t xml:space="preserve">Grass Interlock Pavers Grey Color with compressive strength </t>
    </r>
    <r>
      <rPr>
        <b/>
        <sz val="12"/>
        <rFont val="Times New Roman"/>
        <family val="1"/>
      </rPr>
      <t>M50 or above. Thickness: 100mm, Dimension:400x600x100mm</t>
    </r>
    <r>
      <rPr>
        <sz val="12"/>
        <rFont val="Times New Roman"/>
        <family val="1"/>
      </rPr>
      <t xml:space="preserve"> (NS Standard)</t>
    </r>
  </si>
  <si>
    <r>
      <t xml:space="preserve">Rectangular Interlock Pavers Grey Color with compressive strength </t>
    </r>
    <r>
      <rPr>
        <b/>
        <sz val="12"/>
        <rFont val="Times New Roman"/>
        <family val="1"/>
      </rPr>
      <t>M40 or above. Thickness: 70mm, Dimension:200*100*70 (NS Standard)</t>
    </r>
  </si>
  <si>
    <r>
      <t xml:space="preserve">Rectangular Interlock Pavers Blended Color with compressive strength </t>
    </r>
    <r>
      <rPr>
        <b/>
        <sz val="12"/>
        <rFont val="Times New Roman"/>
        <family val="1"/>
      </rPr>
      <t>M40 or above. Thickness: 70mm, Dimension:200*100*70 (NS Standard)</t>
    </r>
  </si>
  <si>
    <r>
      <t xml:space="preserve">Rectangular Interlock Pavers Single Color with compressive strength </t>
    </r>
    <r>
      <rPr>
        <b/>
        <sz val="12"/>
        <rFont val="Times New Roman"/>
        <family val="1"/>
      </rPr>
      <t>M40 or above. Thickness: 70mm, Dimension:200*100*70 (NS Standard)</t>
    </r>
  </si>
  <si>
    <r>
      <t xml:space="preserve">Rectangular Interlock Pavers Grey Color with compressive strength </t>
    </r>
    <r>
      <rPr>
        <b/>
        <sz val="12"/>
        <rFont val="Times New Roman"/>
        <family val="1"/>
      </rPr>
      <t>M40 or above. Thickness: 80mm, Dimension:200*100*80 (NS Standard)</t>
    </r>
  </si>
  <si>
    <r>
      <t xml:space="preserve">Rectangular Interlock Pavers Single Color with compressive strength </t>
    </r>
    <r>
      <rPr>
        <b/>
        <sz val="12"/>
        <rFont val="Times New Roman"/>
        <family val="1"/>
      </rPr>
      <t>M40 or above. Thickness: 80mm, Dimension:200*100*80 (NS Standard)</t>
    </r>
  </si>
  <si>
    <r>
      <t xml:space="preserve">Rectangular Interlock Pavers Blended Color with compressive strength </t>
    </r>
    <r>
      <rPr>
        <b/>
        <sz val="12"/>
        <rFont val="Times New Roman"/>
        <family val="1"/>
      </rPr>
      <t>M40 or above. Thickness: 80mm, Dimension:200*100*80 (NS Standard)</t>
    </r>
  </si>
  <si>
    <t>Permeable Interlock Pavers</t>
  </si>
  <si>
    <r>
      <t xml:space="preserve">Permeable Interlock Pavers Grey Color with compressive strength </t>
    </r>
    <r>
      <rPr>
        <b/>
        <sz val="12"/>
        <rFont val="Times New Roman"/>
        <family val="1"/>
      </rPr>
      <t>M35 or above. Thickness: 60mm, Dimension:228*158*60 (NS Standard)</t>
    </r>
  </si>
  <si>
    <r>
      <t xml:space="preserve">Permeable Interlock Pavers Single Color with compressive strength </t>
    </r>
    <r>
      <rPr>
        <b/>
        <sz val="12"/>
        <rFont val="Times New Roman"/>
        <family val="1"/>
      </rPr>
      <t>M35 or above. Thickness: 60mm, Dimension:228*158*60 (NS Standard)</t>
    </r>
  </si>
  <si>
    <r>
      <t xml:space="preserve">Permeable Interlock Pavers Blended Color with compressive strength </t>
    </r>
    <r>
      <rPr>
        <b/>
        <sz val="12"/>
        <rFont val="Times New Roman"/>
        <family val="1"/>
      </rPr>
      <t>M35 or above. Thickness: 60mm, Dimension:228*158*60 (NS Standard)</t>
    </r>
  </si>
  <si>
    <r>
      <t xml:space="preserve">Permeable Interlock Pavers Grey Color with compressive strength </t>
    </r>
    <r>
      <rPr>
        <b/>
        <sz val="12"/>
        <rFont val="Times New Roman"/>
        <family val="1"/>
      </rPr>
      <t>M40 or above. Thickness: 80mm, Dimension:228*158*80 (NS Standard)</t>
    </r>
  </si>
  <si>
    <r>
      <t xml:space="preserve">Permeable Interlock Pavers Single Color with compressive strength </t>
    </r>
    <r>
      <rPr>
        <b/>
        <sz val="12"/>
        <rFont val="Times New Roman"/>
        <family val="1"/>
      </rPr>
      <t>M40 or above. Thickness: 80mm, Dimension:228*158*80 (NS Standard)</t>
    </r>
  </si>
  <si>
    <r>
      <t xml:space="preserve">Permeable Interlock Pavers Blended Color with compressive strength </t>
    </r>
    <r>
      <rPr>
        <b/>
        <sz val="12"/>
        <rFont val="Times New Roman"/>
        <family val="1"/>
      </rPr>
      <t>M40 or above. Thickness: 80mm, Dimension:228*158*80 (NS Standard)</t>
    </r>
  </si>
  <si>
    <r>
      <t xml:space="preserve">Permeable Interlock Pavers Grey Color with compressive strength </t>
    </r>
    <r>
      <rPr>
        <b/>
        <sz val="12"/>
        <rFont val="Times New Roman"/>
        <family val="1"/>
      </rPr>
      <t>M50 or above. Thickness: 100mm, Dimension:228*158*100 (NS Standard)</t>
    </r>
  </si>
  <si>
    <r>
      <t xml:space="preserve">Permeable Interlock Pavers Single Color with compressive strength </t>
    </r>
    <r>
      <rPr>
        <b/>
        <sz val="12"/>
        <rFont val="Times New Roman"/>
        <family val="1"/>
      </rPr>
      <t>M50 or above. Thickness: 100mm, Dimension:228*158*100 (NS Standard)</t>
    </r>
  </si>
  <si>
    <r>
      <t xml:space="preserve">Permeable Interlock Pavers Blended Color with compressive strength </t>
    </r>
    <r>
      <rPr>
        <b/>
        <sz val="12"/>
        <rFont val="Times New Roman"/>
        <family val="1"/>
      </rPr>
      <t>M50 or above. Thickness: 100mm, Dimension:228*158*100 (NS Standard)</t>
    </r>
  </si>
  <si>
    <t>Porous Permeable Matrix Tiles</t>
  </si>
  <si>
    <r>
      <t xml:space="preserve">Porous Permeable Matrix Tiles Grey Color with compressive strength </t>
    </r>
    <r>
      <rPr>
        <b/>
        <sz val="12"/>
        <rFont val="Times New Roman"/>
        <family val="1"/>
      </rPr>
      <t>M35 or above.  Thickness: 40mm, Dimension:400*400*40</t>
    </r>
  </si>
  <si>
    <r>
      <t xml:space="preserve">Porous Permeable Matrix Tiles Single Color with compressive strength </t>
    </r>
    <r>
      <rPr>
        <b/>
        <sz val="12"/>
        <rFont val="Times New Roman"/>
        <family val="1"/>
      </rPr>
      <t>M35 or above.  Thickness: 40mm, Dimension:400*400*40</t>
    </r>
  </si>
  <si>
    <r>
      <t xml:space="preserve">Porous Permeable Matrix Tiles Grey Color with compressive strength </t>
    </r>
    <r>
      <rPr>
        <b/>
        <sz val="12"/>
        <rFont val="Times New Roman"/>
        <family val="1"/>
      </rPr>
      <t>M35 or above.  Thickness: 60mm, Dimension:400*400*60</t>
    </r>
  </si>
  <si>
    <r>
      <t xml:space="preserve">Porous Permeable Matrix Tiles Single Color with compressive strength </t>
    </r>
    <r>
      <rPr>
        <b/>
        <sz val="12"/>
        <rFont val="Times New Roman"/>
        <family val="1"/>
      </rPr>
      <t>M35 or above.  Thickness: 60mm, Dimension:400*400*60</t>
    </r>
  </si>
  <si>
    <t>Rup</t>
  </si>
  <si>
    <t>10% add Rup</t>
  </si>
  <si>
    <t>Concrete Precast Coloured Bench all complete set.</t>
  </si>
  <si>
    <t xml:space="preserve">आ.व.२०८३/०८४ को लागि </t>
  </si>
  <si>
    <t>६% बृद्धी मानेर रेट कायम गरीएको</t>
  </si>
  <si>
    <t>आ.व.२०८३।०८४ को दररेट</t>
  </si>
  <si>
    <t>8 sq.mm.</t>
  </si>
  <si>
    <t>16 sq.mm.</t>
  </si>
  <si>
    <t>25 Hp</t>
  </si>
  <si>
    <t>20 Hp</t>
  </si>
  <si>
    <t>15 Hp</t>
  </si>
  <si>
    <t>12.5 Hp</t>
  </si>
  <si>
    <t>10 Hp</t>
  </si>
  <si>
    <t>7.5 Hp</t>
  </si>
  <si>
    <t>5 Hp</t>
  </si>
  <si>
    <t>Katalox Light German, mesh size: 14 x 30, bulk density: 1060 kg/m³</t>
  </si>
  <si>
    <t>Zeosorb German, mesh size: 14 x 30, bulk density: 1060 kg/m³</t>
  </si>
  <si>
    <t>1000 IV Coconut-based Carbon</t>
  </si>
  <si>
    <t>Manganese Dioxide MnO2</t>
  </si>
  <si>
    <t>Manganese Green Sand</t>
  </si>
  <si>
    <t>Anthracite Media</t>
  </si>
  <si>
    <t>Silex</t>
  </si>
  <si>
    <t>Amlekhgunj Graded Sand and Pebbles Media</t>
  </si>
  <si>
    <t>cu.m.</t>
  </si>
  <si>
    <t>Electric Dosing system with 2 no. of HDPE tanks for mixing and dosing; Seko AKS 603 dosing pump with range of 4 LPH at 12 bar to 8 LPH at 2 bar; 0.55 kw Mixer moter with PE coated Stainless Steel agitator; double-step MS Skid; interconnection pipe and fittings with 3 nos. of ball valves; electrical works all complete set</t>
  </si>
  <si>
    <t>Electric Dosing system with 2 no. of HDPE tanks for mixing and dosing; Seko AKS 800 with range of 7 LPH at 16 bar to 18 LPH at 1 bar; 0.55 kw Mixer moter with PE coated Stainless Steel agitator; double-step MS Skid; interconnection pipe and fittings with 3 nos. of ball valves; electrical works all complete set</t>
  </si>
  <si>
    <t>Electric Dosing system with 2 no. of HDPE tanks for mixing and dosing; Seko AKS 803, range of 20 LPH at 5 bar to 62 LPH at 2 bar; 0.55 kw Mixer moter with PE coated Stainless Steel agitator; double-step MS Skid; interconnection pipe and fittings with 3 nos. of ball valves; electrical works all complete set</t>
  </si>
  <si>
    <t>Chemical Dosing Pump - Solenoid type, Seko AKS 603, Range: 4 LPH at 12 bar to 8 LPH at 2 bar, Suction Discharge: 4/6mm with inbuilt level senser</t>
  </si>
  <si>
    <t>Chemical Dosing Pump - Solenoid type, Seko AKS 800, Range: 7 LPH at 16 bar to 18 LPH at 1 bar, Suction Discharge: 4/6mm with inbuilt level senser</t>
  </si>
  <si>
    <t>Chemical Dosing Pump - Solenoid type, Seko AKS 803, Range: 20 LPH at 5 bar to 62 LPH at 2 bar, Suction Discharge: 4/6mm with inbuilt level senser</t>
  </si>
  <si>
    <t>200L Corrosion Resistant yellow/white PE Tank with integrated level indicator</t>
  </si>
  <si>
    <t>300L Corrosion Resistant yellow/white PE Tank with integrated level indicator</t>
  </si>
  <si>
    <t>Chemical Mixing Motor – 0.55 kW, 50 Hz, 65–130 RPM with gearbox</t>
  </si>
  <si>
    <t>Mixture Agitator – PP laminated carbon steel, 16 mm solid rod, 900 mm shaft length, 3-blade single deck</t>
  </si>
  <si>
    <t>FRC Test Kit</t>
  </si>
  <si>
    <t>Bleaching Powder, 30% concentration</t>
  </si>
  <si>
    <t>Supplying, installation, testing and commissioning of reciprocating 5.0 HP Air Compressor as per specification including filter, air suction strainer, filled with required quantity of lubricants for complete set including all mechanical and electrical fittings, fixtures and connections for complete work.</t>
  </si>
  <si>
    <t>Supplying, installation, testing and commissioning of reciprocating 7.5 Air Compressor as per specification including air filter, air suction strainer, filled with required quantity of lubricants for complete set including all mechanical and electrical fittings, fixtures and connections for complete work.</t>
  </si>
  <si>
    <t>Supply, delivery and installation of Electrical control Panel Board for Operation of one number of air compressor, one number of Dosing Pump and one number of agitator motor including Volte &amp; Amper meter, on / off section, with all complete with required electrical cable.</t>
  </si>
  <si>
    <t>u|fe]n ;*ssf] nflu -cf/ljPd_</t>
  </si>
  <si>
    <t>Aluminium Windows/  Door Partition</t>
  </si>
  <si>
    <t>Aluminium Fix Partition (section 65mm x38mmx1.2mm) net aluminium frame with 4 mm thick aluminium composite panel with all necessary labour, fixing &amp; fittings all complete</t>
  </si>
  <si>
    <t xml:space="preserve">0.38 mm </t>
  </si>
  <si>
    <t xml:space="preserve">0.46 mm </t>
  </si>
  <si>
    <t xml:space="preserve">0.55 mm </t>
  </si>
  <si>
    <t>palpa</t>
  </si>
  <si>
    <t>नेपाल बिटुमिन तथा ब्यारेल उद्योग लिमिटेडले निर्धारण गरे बमोजिम</t>
  </si>
  <si>
    <t>११. सरकारी कार्यालयमा आवश्यक हुने अन्य मालसामान सम्बन्धी दर</t>
  </si>
  <si>
    <t>Aluminium Partition  (section 62mm x38mmx1.2mm)with 5mm thick clear glass  with water proof sheet including meterials, labour, fixing &amp; fittings all complete</t>
  </si>
  <si>
    <r>
      <rPr>
        <b/>
        <sz val="9"/>
        <rFont val="Times New Roman"/>
        <family val="1"/>
      </rPr>
      <t>Aluminium sliding window without Ventilation</t>
    </r>
    <r>
      <rPr>
        <sz val="9"/>
        <rFont val="Times New Roman"/>
        <family val="1"/>
      </rPr>
      <t xml:space="preserve"> with naturally anodized aluminium (section 101.6mm x44mmx1.5mm) with  5mm th. clear glass &amp; steel net including meterials, labour, fixing &amp; fittings all complete </t>
    </r>
    <r>
      <rPr>
        <b/>
        <sz val="9"/>
        <rFont val="Times New Roman"/>
        <family val="1"/>
      </rPr>
      <t>(size-&gt;30sft)</t>
    </r>
  </si>
  <si>
    <r>
      <rPr>
        <b/>
        <sz val="9"/>
        <rFont val="Times New Roman"/>
        <family val="1"/>
      </rPr>
      <t>Aluminium sliding window with fixed Ventilation</t>
    </r>
    <r>
      <rPr>
        <sz val="9"/>
        <rFont val="Times New Roman"/>
        <family val="1"/>
      </rPr>
      <t xml:space="preserve"> with naturally anodized aluminium (section 101.6mm x44mmx1.5mm) with  5mm th. clear glass &amp; steel net including meterials, labour, fixing &amp; fittings all complete </t>
    </r>
    <r>
      <rPr>
        <b/>
        <sz val="9"/>
        <rFont val="Times New Roman"/>
        <family val="1"/>
      </rPr>
      <t>(size-&gt;30sft)</t>
    </r>
  </si>
  <si>
    <r>
      <rPr>
        <b/>
        <sz val="9"/>
        <rFont val="Times New Roman"/>
        <family val="1"/>
      </rPr>
      <t>Aluminium sliding window with sliding Ventilation</t>
    </r>
    <r>
      <rPr>
        <sz val="9"/>
        <rFont val="Times New Roman"/>
        <family val="1"/>
      </rPr>
      <t xml:space="preserve"> with naturally anodized aluminium (section 101.6mm x44mmx1.5mm) with  5mm th. clear glass &amp; steel net including meterials, labour, fixing &amp; fittings all complete </t>
    </r>
    <r>
      <rPr>
        <b/>
        <sz val="9"/>
        <rFont val="Times New Roman"/>
        <family val="1"/>
      </rPr>
      <t>(size-&gt;30sft)</t>
    </r>
  </si>
  <si>
    <r>
      <rPr>
        <b/>
        <sz val="9"/>
        <rFont val="Times New Roman"/>
        <family val="1"/>
      </rPr>
      <t>Aluminium sliding window without Ventilation</t>
    </r>
    <r>
      <rPr>
        <sz val="9"/>
        <rFont val="Times New Roman"/>
        <family val="1"/>
      </rPr>
      <t xml:space="preserve"> with naturally anodized aluminium (section 101.6mm x44mmx1.5mm) with  5mm th. clear glass &amp; steel net including meterials, labour, fixing &amp; fittings all complete </t>
    </r>
    <r>
      <rPr>
        <b/>
        <sz val="9"/>
        <rFont val="Times New Roman"/>
        <family val="1"/>
      </rPr>
      <t>(size-&lt;30sft)</t>
    </r>
  </si>
  <si>
    <r>
      <rPr>
        <b/>
        <sz val="9"/>
        <rFont val="Times New Roman"/>
        <family val="1"/>
      </rPr>
      <t>Aluminium sliding window with fixed Ventilation</t>
    </r>
    <r>
      <rPr>
        <sz val="9"/>
        <rFont val="Times New Roman"/>
        <family val="1"/>
      </rPr>
      <t xml:space="preserve"> with naturally anodized aluminium (section 101.6mm x44mmx1.5mm) with  5mm th. clear glass &amp; steel net including materials, labour, fixing &amp; fittings all complete </t>
    </r>
    <r>
      <rPr>
        <b/>
        <sz val="9"/>
        <rFont val="Times New Roman"/>
        <family val="1"/>
      </rPr>
      <t>(size-&lt;30sft)</t>
    </r>
  </si>
  <si>
    <r>
      <rPr>
        <b/>
        <sz val="9"/>
        <rFont val="Times New Roman"/>
        <family val="1"/>
      </rPr>
      <t>Aluminium sliding window with sliding Ventilation</t>
    </r>
    <r>
      <rPr>
        <sz val="9"/>
        <rFont val="Times New Roman"/>
        <family val="1"/>
      </rPr>
      <t xml:space="preserve"> with naturally anodized aluminium (section 101.6mm x44mmx1.5mm) with  5mm th. clear glass &amp; steel net including materials, labour, fixing &amp; fittings all complete </t>
    </r>
    <r>
      <rPr>
        <b/>
        <sz val="9"/>
        <rFont val="Times New Roman"/>
        <family val="1"/>
      </rPr>
      <t>(size-&lt;30sft)</t>
    </r>
  </si>
  <si>
    <r>
      <rPr>
        <b/>
        <sz val="9"/>
        <rFont val="Times New Roman"/>
        <family val="1"/>
      </rPr>
      <t>Aluminium Swing doo</t>
    </r>
    <r>
      <rPr>
        <sz val="9"/>
        <rFont val="Times New Roman"/>
        <family val="1"/>
      </rPr>
      <t xml:space="preserve">r with naturally anodized aluminium (section 101.6mm x44mmx1.5mm) with 5mm thick clear glass including meterials, labour, fixing &amp; fittings all complete </t>
    </r>
    <r>
      <rPr>
        <b/>
        <sz val="9"/>
        <rFont val="Times New Roman"/>
        <family val="1"/>
      </rPr>
      <t>(size- &gt;21sft)</t>
    </r>
  </si>
  <si>
    <r>
      <rPr>
        <b/>
        <sz val="9"/>
        <color theme="1"/>
        <rFont val="Times New Roman"/>
        <family val="1"/>
      </rPr>
      <t>Aluminium sliding window without Ventilation</t>
    </r>
    <r>
      <rPr>
        <sz val="9"/>
        <color theme="1"/>
        <rFont val="Times New Roman"/>
        <family val="1"/>
      </rPr>
      <t xml:space="preserve"> with naturally anodized aluminium (section 101.6mm x44mmx1.2mm) with  5mm th. clear glass &amp; steel net including materials, labour, fixing &amp; fittings all complete </t>
    </r>
    <r>
      <rPr>
        <b/>
        <sz val="9"/>
        <color theme="1"/>
        <rFont val="Times New Roman"/>
        <family val="1"/>
      </rPr>
      <t>(size-&gt;30sft)</t>
    </r>
  </si>
  <si>
    <r>
      <rPr>
        <b/>
        <sz val="9"/>
        <color theme="1"/>
        <rFont val="Times New Roman"/>
        <family val="1"/>
      </rPr>
      <t>Aluminium sliding window with fixed Ventilation</t>
    </r>
    <r>
      <rPr>
        <sz val="9"/>
        <color theme="1"/>
        <rFont val="Times New Roman"/>
        <family val="1"/>
      </rPr>
      <t xml:space="preserve"> with naturally anodized aluminium (section 101.6mm x44mmx1.2mm) with  5mm th. clear glass &amp; steel net including materials, labour, fixing &amp; fittings all complete </t>
    </r>
    <r>
      <rPr>
        <b/>
        <sz val="9"/>
        <color theme="1"/>
        <rFont val="Times New Roman"/>
        <family val="1"/>
      </rPr>
      <t>(size-&gt;30sft)</t>
    </r>
  </si>
  <si>
    <r>
      <rPr>
        <b/>
        <sz val="9"/>
        <color theme="1"/>
        <rFont val="Times New Roman"/>
        <family val="1"/>
      </rPr>
      <t>Aluminium sliding window with sliding Ventilation</t>
    </r>
    <r>
      <rPr>
        <sz val="9"/>
        <color theme="1"/>
        <rFont val="Times New Roman"/>
        <family val="1"/>
      </rPr>
      <t xml:space="preserve"> with naturally anodized aluminium (section 101.6mm x44mmx1.2mm) with  5mm th. clear glass &amp; steel net including materials, labour, fixing &amp; fittings all complete </t>
    </r>
    <r>
      <rPr>
        <b/>
        <sz val="9"/>
        <color theme="1"/>
        <rFont val="Times New Roman"/>
        <family val="1"/>
      </rPr>
      <t>(size-&gt;30sft)</t>
    </r>
  </si>
  <si>
    <r>
      <rPr>
        <b/>
        <sz val="9"/>
        <color theme="1"/>
        <rFont val="Times New Roman"/>
        <family val="1"/>
      </rPr>
      <t>Aluminium sliding window without Ventilation</t>
    </r>
    <r>
      <rPr>
        <sz val="9"/>
        <color theme="1"/>
        <rFont val="Times New Roman"/>
        <family val="1"/>
      </rPr>
      <t xml:space="preserve"> with naturally anodized aluminium (section 101.6mm x44mmx1.2mm) with  5mm th. clear glass &amp; steel net including materials, labour, fixing &amp; fittings all complete </t>
    </r>
    <r>
      <rPr>
        <b/>
        <sz val="9"/>
        <color theme="1"/>
        <rFont val="Times New Roman"/>
        <family val="1"/>
      </rPr>
      <t>(size-&lt;30sft)</t>
    </r>
  </si>
  <si>
    <r>
      <rPr>
        <b/>
        <sz val="9"/>
        <color theme="1"/>
        <rFont val="Times New Roman"/>
        <family val="1"/>
      </rPr>
      <t>Aluminium sliding window with fixed Ventilation</t>
    </r>
    <r>
      <rPr>
        <sz val="9"/>
        <color theme="1"/>
        <rFont val="Times New Roman"/>
        <family val="1"/>
      </rPr>
      <t xml:space="preserve"> with naturally anodized aluminium (section 101.6mm x44mmx1.2mm) with  5mm th. clear glass &amp; steel net including meterials, labour, fixing &amp; fittings all complete </t>
    </r>
    <r>
      <rPr>
        <b/>
        <sz val="9"/>
        <color theme="1"/>
        <rFont val="Times New Roman"/>
        <family val="1"/>
      </rPr>
      <t>(size-&lt;30sft)</t>
    </r>
  </si>
  <si>
    <r>
      <rPr>
        <b/>
        <sz val="9"/>
        <color theme="1"/>
        <rFont val="Times New Roman"/>
        <family val="1"/>
      </rPr>
      <t>Aluminium sliding window with sliding Ventilation</t>
    </r>
    <r>
      <rPr>
        <sz val="9"/>
        <color theme="1"/>
        <rFont val="Times New Roman"/>
        <family val="1"/>
      </rPr>
      <t xml:space="preserve"> with naturally anodized aluminium (section 101.6mm x44mmx1.2mm) with  5mm th. clear glass &amp; steel net including meterials, labour, fixing &amp; fittings all complete </t>
    </r>
    <r>
      <rPr>
        <b/>
        <sz val="9"/>
        <color theme="1"/>
        <rFont val="Times New Roman"/>
        <family val="1"/>
      </rPr>
      <t>(size-&lt;30sft)</t>
    </r>
  </si>
  <si>
    <r>
      <rPr>
        <b/>
        <sz val="9"/>
        <color theme="1"/>
        <rFont val="Times New Roman"/>
        <family val="1"/>
      </rPr>
      <t>Aluminium Swing doo</t>
    </r>
    <r>
      <rPr>
        <sz val="9"/>
        <color theme="1"/>
        <rFont val="Times New Roman"/>
        <family val="1"/>
      </rPr>
      <t xml:space="preserve">r with naturally anodized aluminium (section 101.6mm x44mmx1.2mm) with 5mm thick clear glass including meterials, labour, fixing &amp; fittings all complete </t>
    </r>
    <r>
      <rPr>
        <b/>
        <sz val="9"/>
        <color theme="1"/>
        <rFont val="Times New Roman"/>
        <family val="1"/>
      </rPr>
      <t>(size- &gt;21sft)</t>
    </r>
  </si>
  <si>
    <r>
      <rPr>
        <b/>
        <sz val="9"/>
        <color theme="1"/>
        <rFont val="Times New Roman"/>
        <family val="1"/>
      </rPr>
      <t>Aluminium ventilation louver</t>
    </r>
    <r>
      <rPr>
        <sz val="9"/>
        <color theme="1"/>
        <rFont val="Times New Roman"/>
        <family val="1"/>
      </rPr>
      <t xml:space="preserve"> with naturally anodized aluminium (section 101.6mm x44mmx1.2mm) with 5mm thick clear glass including meterials, labour, fixing &amp; fittings all complete</t>
    </r>
  </si>
  <si>
    <r>
      <rPr>
        <b/>
        <sz val="11"/>
        <rFont val="Kalimati"/>
        <charset val="1"/>
      </rPr>
      <t xml:space="preserve">आर सि सि फेन्सिङ पोल </t>
    </r>
    <r>
      <rPr>
        <b/>
        <sz val="11"/>
        <rFont val="Times New Roman"/>
        <family val="1"/>
      </rPr>
      <t>(10x10 Top and 12x12 Bottom including 8mm reinforcement)</t>
    </r>
  </si>
  <si>
    <r>
      <t xml:space="preserve">Hexagon  Interlock Pavers </t>
    </r>
    <r>
      <rPr>
        <b/>
        <sz val="12"/>
        <rFont val="Times New Roman"/>
        <family val="1"/>
      </rPr>
      <t>Grey Color</t>
    </r>
    <r>
      <rPr>
        <sz val="12"/>
        <rFont val="Times New Roman"/>
        <family val="1"/>
      </rPr>
      <t xml:space="preserve"> with compressive strength</t>
    </r>
    <r>
      <rPr>
        <b/>
        <sz val="12"/>
        <rFont val="Times New Roman"/>
        <family val="1"/>
      </rPr>
      <t xml:space="preserve"> M35or above</t>
    </r>
    <r>
      <rPr>
        <sz val="12"/>
        <rFont val="Times New Roman"/>
        <family val="1"/>
      </rPr>
      <t xml:space="preserve">. </t>
    </r>
    <r>
      <rPr>
        <b/>
        <sz val="12"/>
        <rFont val="Times New Roman"/>
        <family val="1"/>
      </rPr>
      <t xml:space="preserve">Thickness: 60mm, Dimension: 234*203*60 (NS Standard) </t>
    </r>
  </si>
  <si>
    <r>
      <t xml:space="preserve">Hexagon  Interlock Pavers </t>
    </r>
    <r>
      <rPr>
        <b/>
        <sz val="12"/>
        <rFont val="Times New Roman"/>
        <family val="1"/>
      </rPr>
      <t>Single Color</t>
    </r>
    <r>
      <rPr>
        <sz val="12"/>
        <rFont val="Times New Roman"/>
        <family val="1"/>
      </rPr>
      <t xml:space="preserve"> with compressive strength </t>
    </r>
    <r>
      <rPr>
        <b/>
        <sz val="12"/>
        <rFont val="Times New Roman"/>
        <family val="1"/>
      </rPr>
      <t>M35 or above</t>
    </r>
    <r>
      <rPr>
        <sz val="12"/>
        <rFont val="Times New Roman"/>
        <family val="1"/>
      </rPr>
      <t xml:space="preserve">. </t>
    </r>
    <r>
      <rPr>
        <b/>
        <sz val="12"/>
        <rFont val="Times New Roman"/>
        <family val="1"/>
      </rPr>
      <t xml:space="preserve">Thickness: 60mm, Dimension: 234*203*60 (NS Standard) </t>
    </r>
  </si>
  <si>
    <r>
      <t xml:space="preserve">Hexagon  Interlock Pavers </t>
    </r>
    <r>
      <rPr>
        <b/>
        <sz val="12"/>
        <rFont val="Times New Roman"/>
        <family val="1"/>
      </rPr>
      <t>Blended Color</t>
    </r>
    <r>
      <rPr>
        <sz val="12"/>
        <rFont val="Times New Roman"/>
        <family val="1"/>
      </rPr>
      <t xml:space="preserve"> with compressive strength </t>
    </r>
    <r>
      <rPr>
        <b/>
        <sz val="12"/>
        <rFont val="Times New Roman"/>
        <family val="1"/>
      </rPr>
      <t xml:space="preserve">M35 or above. Thickness: 60mm, Dimension: 234*203*60 (NS Standard) </t>
    </r>
  </si>
  <si>
    <r>
      <t xml:space="preserve">Hexagon  Interlock Pavers Grey Color with compressive strength </t>
    </r>
    <r>
      <rPr>
        <b/>
        <sz val="12"/>
        <rFont val="Times New Roman"/>
        <family val="1"/>
      </rPr>
      <t xml:space="preserve">M30 or above. Thickness: 50mm, Dimension: 226*200*50 (NS Standard) </t>
    </r>
  </si>
  <si>
    <t>% Increment</t>
  </si>
  <si>
    <t>% Increase wrt Last Year</t>
  </si>
  <si>
    <t>1/2" dia  (15mm)</t>
  </si>
  <si>
    <t>3/4" dia (20mm)</t>
  </si>
  <si>
    <t>1" dia (25mm)</t>
  </si>
  <si>
    <t>1-1/4" dia (32mm)</t>
  </si>
  <si>
    <t>1-1/2" dia (40mm)</t>
  </si>
  <si>
    <t>2" dia (50mm)</t>
  </si>
  <si>
    <t>Panchakanya</t>
  </si>
  <si>
    <t>Size</t>
  </si>
  <si>
    <t>PN12.5</t>
  </si>
  <si>
    <t>PN16</t>
  </si>
  <si>
    <t>RATE PANCH</t>
  </si>
  <si>
    <t>RATE 1</t>
  </si>
  <si>
    <t>DIFF</t>
  </si>
  <si>
    <t>WT=KG/M (HDPE)</t>
  </si>
  <si>
    <t>Copper wound Distribution Transformenr with first filling of Oil</t>
  </si>
  <si>
    <t xml:space="preserve">Siddhartha </t>
  </si>
  <si>
    <t>Area</t>
  </si>
  <si>
    <t>Rs/Sqm</t>
  </si>
  <si>
    <t>फरक %</t>
  </si>
  <si>
    <t>नोट : बिटुमिनको हकमा नेपाल बिटुमिन तथा ब्यारेल उद्योग लिमिटेडले निर्धारण गरेको अध्यावधिक रेटलाई आधार मान्नुपर्नेछ । बिटुमिनजन्य निर्माण सामाग्री प्रयोग हुने निर्माण कार्यको लागत अनुमान तयार गर्दा नेपाल बिटुमिन तथा ब्यारेलको अध्यावधिक रेट माग गरी प्राप्त हुन आएको रेटको आधारमा गर्ने ।</t>
  </si>
  <si>
    <r>
      <t>2.5 kg/cm</t>
    </r>
    <r>
      <rPr>
        <vertAlign val="superscript"/>
        <sz val="12"/>
        <rFont val="Times New Roman"/>
        <family val="1"/>
      </rPr>
      <t>2</t>
    </r>
  </si>
  <si>
    <r>
      <t>4 kg/cm</t>
    </r>
    <r>
      <rPr>
        <vertAlign val="superscript"/>
        <sz val="12"/>
        <rFont val="Times New Roman"/>
        <family val="1"/>
      </rPr>
      <t>2</t>
    </r>
  </si>
  <si>
    <r>
      <t>6 kg/cm</t>
    </r>
    <r>
      <rPr>
        <vertAlign val="superscript"/>
        <sz val="12"/>
        <rFont val="Times New Roman"/>
        <family val="1"/>
      </rPr>
      <t>2</t>
    </r>
  </si>
  <si>
    <r>
      <t>10 kg/cm</t>
    </r>
    <r>
      <rPr>
        <vertAlign val="superscript"/>
        <sz val="12"/>
        <rFont val="Times New Roman"/>
        <family val="1"/>
      </rPr>
      <t>2</t>
    </r>
  </si>
  <si>
    <t xml:space="preserve">पञ्चकन्या </t>
  </si>
  <si>
    <t>पंचकन्या</t>
  </si>
  <si>
    <t>नवलपरासीको</t>
  </si>
  <si>
    <t>रुपन्देहीको</t>
  </si>
  <si>
    <t>2+</t>
  </si>
  <si>
    <t>Outer Diameter</t>
  </si>
  <si>
    <t>PN 3</t>
  </si>
  <si>
    <t>PN 4</t>
  </si>
  <si>
    <t>PN 5</t>
  </si>
  <si>
    <t>PN 6</t>
  </si>
  <si>
    <t>PN 8</t>
  </si>
  <si>
    <t>PN 10</t>
  </si>
  <si>
    <t>PN 12.5</t>
  </si>
  <si>
    <t>PN 16</t>
  </si>
  <si>
    <t>PN 20</t>
  </si>
  <si>
    <t>16 mm</t>
  </si>
  <si>
    <t>25 mm</t>
  </si>
  <si>
    <t>32 mm</t>
  </si>
  <si>
    <t>40 mm</t>
  </si>
  <si>
    <t>1-1/4"</t>
  </si>
  <si>
    <t>50 mm</t>
  </si>
  <si>
    <t>1-1/2"</t>
  </si>
  <si>
    <t>63 mm</t>
  </si>
  <si>
    <t>75 mm</t>
  </si>
  <si>
    <t>2-1/2"</t>
  </si>
  <si>
    <t>90 mm</t>
  </si>
  <si>
    <t>110 mm</t>
  </si>
  <si>
    <t>125 mm</t>
  </si>
  <si>
    <t>4-1/2"</t>
  </si>
  <si>
    <t>140 mm</t>
  </si>
  <si>
    <t>160 mm</t>
  </si>
  <si>
    <t>180 mm</t>
  </si>
  <si>
    <t>200 mm</t>
  </si>
  <si>
    <t>225 mm</t>
  </si>
  <si>
    <t>250 mm</t>
  </si>
  <si>
    <t>280 mm</t>
  </si>
  <si>
    <t>315 mm</t>
  </si>
  <si>
    <t>355 mm</t>
  </si>
  <si>
    <t>400 mm</t>
  </si>
  <si>
    <t>15-3/4"</t>
  </si>
  <si>
    <t>450 mm</t>
  </si>
  <si>
    <t>17-3/4"</t>
  </si>
  <si>
    <t>500 mm</t>
  </si>
  <si>
    <t>19-2/3"</t>
  </si>
  <si>
    <t>Comparison with Panchakanya</t>
  </si>
  <si>
    <t>Rate</t>
  </si>
  <si>
    <t>साइज (मि.मि.)</t>
  </si>
  <si>
    <t>साइज (इन्च)</t>
  </si>
  <si>
    <t>जिल्ला दररेट निर्धारण समिति</t>
  </si>
  <si>
    <t>७.१. एच.डि.पि.इ. पाइप (NS-40)</t>
  </si>
  <si>
    <t>७.२. यु.पि.भि.सी. पाइप (NS-206/046)</t>
  </si>
  <si>
    <t>७.३. सि.पि.भि.सी. पाइप</t>
  </si>
  <si>
    <t xml:space="preserve">७.४. पी.पी. आर फिटिङ्गस </t>
  </si>
  <si>
    <t>७.६. खानेपानी सम्बन्धी फिटिङ्स</t>
  </si>
  <si>
    <t>७.७. ईनार तथा ट्यूववेल सम्बन्धी</t>
  </si>
  <si>
    <t>७.८. खानेपानी सम्बन्धी हाते औजारहरु</t>
  </si>
  <si>
    <t>स्वीकृत जिल्ला दररेट</t>
  </si>
  <si>
    <t>आ.व.२०८३/०८४ को लागि मिति २०८३/04/01 गते देखि नवलपरासी (ब.सु.प.) जिल्ला भरी लागू हुने गरी संलग्न सूची अनुसारका विभिन्न निर्माण सामाग्री र सो को ढुवानीको दररेट साथै श्रमिकहरुको ज्याला दररेट स्वीकृत गर्ने निर्णय गरीयो । उल्लेखित दररेटमा १३% मु.अ.कर समावेश गरीएको छैन ।</t>
  </si>
  <si>
    <t xml:space="preserve">श्रमिकहरुको उमेर १६ वर्ष वा सो भन्दा माथि र दैनिक काम गर्ने अवधि ८ घण्टालाई आधार मानेर श्रमिकहरुको ज्यालादर सम्बन्धमा छिमेकी जिल्लाको दररेटलाई समेत आधार मानी आगामी आ.व. २०८३/०८४ को श्रमिकहरुको ज्यालादरलाई जिल्लागत औचित्यको आधारमा वृद्धी गरी नयाँ ज्यालादर कायम गर्ने निर्णय गरीयो ।  </t>
  </si>
  <si>
    <t>1.१.1</t>
  </si>
  <si>
    <t>1.१.2</t>
  </si>
  <si>
    <t>1.१.3</t>
  </si>
  <si>
    <t>1.१.4</t>
  </si>
  <si>
    <t>1.१.5</t>
  </si>
  <si>
    <t>1.१.6</t>
  </si>
  <si>
    <t>1.२.1</t>
  </si>
  <si>
    <t>1.२.2</t>
  </si>
  <si>
    <t>1.३.1</t>
  </si>
  <si>
    <t>1.३.2</t>
  </si>
  <si>
    <t>1.३.3</t>
  </si>
  <si>
    <t>1.३.4</t>
  </si>
  <si>
    <t>1.३.5</t>
  </si>
  <si>
    <t>1.४.1</t>
  </si>
  <si>
    <t>1.४.2</t>
  </si>
  <si>
    <t>1.४.3</t>
  </si>
  <si>
    <t>1.४.4</t>
  </si>
  <si>
    <t>1.४.5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</si>
</sst>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_);_(* \(#,##0\);_(* &quot;-&quot;??_);_(@_)"/>
    <numFmt numFmtId="165" formatCode="_(* #,##0.000_);_(* \(#,##0.000\);_(* &quot;-&quot;??_);_(@_)"/>
    <numFmt numFmtId="166" formatCode="_(* #,##0.0_);_(* \(#,##0.0\);_(* &quot;-&quot;??_);_(@_)"/>
    <numFmt numFmtId="167" formatCode="0.0"/>
    <numFmt numFmtId="168" formatCode="[$-4000439]0"/>
    <numFmt numFmtId="169" formatCode="[$-4000439]0.#"/>
    <numFmt numFmtId="170" formatCode="[$-4000439]0.00"/>
    <numFmt numFmtId="171" formatCode="0.0%"/>
    <numFmt numFmtId="172" formatCode="0.000"/>
  </numFmts>
  <fonts count="185">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FONTASY_ HIMALI_ TT"/>
      <family val="5"/>
    </font>
    <font>
      <sz val="12"/>
      <name val="FONTASY_HIMALI_TT"/>
      <family val="5"/>
    </font>
    <font>
      <sz val="14"/>
      <name val="FONTASY_ HIMALI_ TT"/>
      <family val="5"/>
    </font>
    <font>
      <sz val="16"/>
      <name val="FONTASY_ HIMALI_ TT"/>
      <family val="5"/>
    </font>
    <font>
      <sz val="12"/>
      <name val="FONTASY_ HIMALI_ TT"/>
      <family val="5"/>
    </font>
    <font>
      <b/>
      <sz val="12"/>
      <name val="FONTASY_ HIMALI_ TT"/>
      <family val="5"/>
    </font>
    <font>
      <sz val="10"/>
      <name val="Arial"/>
      <family val="2"/>
    </font>
    <font>
      <b/>
      <sz val="14"/>
      <name val="FONTASY_ HIMALI_ TT"/>
      <family val="5"/>
    </font>
    <font>
      <sz val="11"/>
      <name val="Preeti"/>
    </font>
    <font>
      <b/>
      <sz val="16"/>
      <name val="FONTASY_ HIMALI_ TT"/>
      <family val="5"/>
    </font>
    <font>
      <b/>
      <sz val="11"/>
      <name val="FONTASY_ HIMALI_ TT"/>
      <family val="5"/>
    </font>
    <font>
      <b/>
      <sz val="10"/>
      <name val="Arial"/>
      <family val="2"/>
    </font>
    <font>
      <b/>
      <sz val="9"/>
      <name val="FONTASY_ HIMALI_ TT"/>
      <family val="5"/>
    </font>
    <font>
      <sz val="8"/>
      <name val="FONTASY_ HIMALI_ TT"/>
      <family val="5"/>
    </font>
    <font>
      <sz val="8"/>
      <name val="Arial"/>
      <family val="2"/>
    </font>
    <font>
      <sz val="9"/>
      <name val="FONTASY_ HIMALI_ TT"/>
      <family val="5"/>
    </font>
    <font>
      <sz val="10"/>
      <name val="FONTASY_ HIMALI_ TT"/>
      <family val="5"/>
    </font>
    <font>
      <b/>
      <sz val="16"/>
      <name val="Preeti"/>
    </font>
    <font>
      <sz val="11"/>
      <name val="Fontasy Himali"/>
      <family val="5"/>
    </font>
    <font>
      <sz val="8"/>
      <name val="Mercantile"/>
      <family val="5"/>
    </font>
    <font>
      <sz val="9"/>
      <name val="Arial"/>
      <family val="2"/>
    </font>
    <font>
      <b/>
      <sz val="8"/>
      <name val="FONTASY_ HIMALI_ TT"/>
      <family val="5"/>
    </font>
    <font>
      <b/>
      <sz val="11"/>
      <name val="Fontasy Himali"/>
      <family val="5"/>
    </font>
    <font>
      <b/>
      <sz val="9"/>
      <name val="Preeti"/>
    </font>
    <font>
      <sz val="8"/>
      <name val="Fontasy Himali"/>
      <family val="5"/>
    </font>
    <font>
      <b/>
      <sz val="11"/>
      <name val="Mercantile"/>
      <family val="5"/>
    </font>
    <font>
      <sz val="11"/>
      <name val="Mercantile"/>
      <family val="5"/>
    </font>
    <font>
      <b/>
      <sz val="18"/>
      <name val="Preeti"/>
    </font>
    <font>
      <b/>
      <sz val="14"/>
      <name val="Preeti"/>
    </font>
    <font>
      <b/>
      <sz val="10"/>
      <name val="FONTASY_ HIMALI_ TT"/>
      <family val="5"/>
    </font>
    <font>
      <sz val="10"/>
      <name val="FONTASY_HIMALI_TT"/>
      <family val="5"/>
    </font>
    <font>
      <b/>
      <sz val="10"/>
      <name val="FONTASY_HIMALI_TT"/>
      <family val="5"/>
    </font>
    <font>
      <sz val="12"/>
      <name val="Preeti"/>
    </font>
    <font>
      <sz val="10"/>
      <name val="Times New Roman"/>
      <family val="1"/>
    </font>
    <font>
      <sz val="10"/>
      <name val="Arial"/>
      <family val="1"/>
    </font>
    <font>
      <b/>
      <sz val="11"/>
      <name val="Preeti"/>
    </font>
    <font>
      <sz val="11"/>
      <name val="Times New Roman"/>
      <family val="1"/>
    </font>
    <font>
      <sz val="14"/>
      <name val="Preeti"/>
    </font>
    <font>
      <sz val="13"/>
      <name val="Preeti"/>
    </font>
    <font>
      <b/>
      <sz val="10"/>
      <name val="Times New Roman"/>
      <family val="1"/>
    </font>
    <font>
      <sz val="9"/>
      <name val="Times New Roman"/>
      <family val="1"/>
    </font>
    <font>
      <b/>
      <u/>
      <sz val="10"/>
      <name val="Times New Roman"/>
      <family val="1"/>
    </font>
    <font>
      <u/>
      <sz val="9"/>
      <name val="Times New Roman"/>
      <family val="1"/>
    </font>
    <font>
      <sz val="9"/>
      <color rgb="FFFF0000"/>
      <name val="FONTASY_ HIMALI_ TT"/>
      <family val="5"/>
    </font>
    <font>
      <sz val="12"/>
      <name val="Times New Roman"/>
      <family val="1"/>
    </font>
    <font>
      <sz val="14"/>
      <name val="Times New Roman"/>
      <family val="1"/>
    </font>
    <font>
      <b/>
      <sz val="10"/>
      <color theme="1"/>
      <name val="FONTASY_ HIMALI_ TT"/>
      <family val="5"/>
    </font>
    <font>
      <b/>
      <sz val="10"/>
      <color theme="1"/>
      <name val="Arial"/>
      <family val="2"/>
    </font>
    <font>
      <sz val="10"/>
      <color theme="1"/>
      <name val="FONTASY_ HIMALI_ TT"/>
      <family val="5"/>
    </font>
    <font>
      <b/>
      <sz val="10"/>
      <color theme="1"/>
      <name val="FONTASY_HIMALI_TT"/>
      <family val="5"/>
    </font>
    <font>
      <b/>
      <sz val="9"/>
      <color theme="1"/>
      <name val="FONTASY_ HIMALI_ TT"/>
      <family val="5"/>
    </font>
    <font>
      <sz val="10"/>
      <color rgb="FFFF0000"/>
      <name val="FONTASY_ HIMALI_ TT"/>
      <family val="5"/>
    </font>
    <font>
      <sz val="10"/>
      <name val="Fontasy Roman Himali"/>
    </font>
    <font>
      <sz val="10"/>
      <name val="Preeti"/>
    </font>
    <font>
      <sz val="9"/>
      <name val="FONTASY_HIMALI_TT"/>
      <family val="5"/>
    </font>
    <font>
      <sz val="10"/>
      <name val="Eras Light ITC"/>
      <family val="2"/>
    </font>
    <font>
      <sz val="8"/>
      <name val="Ati"/>
    </font>
    <font>
      <b/>
      <sz val="9"/>
      <name val="Times New Roman"/>
      <family val="1"/>
    </font>
    <font>
      <b/>
      <sz val="9"/>
      <name val="FONTASY_HIMALI_TT"/>
      <family val="5"/>
    </font>
    <font>
      <sz val="10"/>
      <name val="Times New Roman Baltic"/>
      <family val="1"/>
      <charset val="186"/>
    </font>
    <font>
      <b/>
      <sz val="20"/>
      <name val="Preeti"/>
    </font>
    <font>
      <b/>
      <sz val="18"/>
      <name val="Times New Roman"/>
      <family val="1"/>
    </font>
    <font>
      <sz val="16"/>
      <name val="Preeti"/>
    </font>
    <font>
      <b/>
      <sz val="12"/>
      <name val="Fontasy Himali"/>
      <family val="5"/>
    </font>
    <font>
      <sz val="16"/>
      <name val="Times New Roman"/>
      <family val="1"/>
    </font>
    <font>
      <vertAlign val="superscript"/>
      <sz val="16"/>
      <name val="Times New Roman"/>
      <family val="1"/>
    </font>
    <font>
      <sz val="13"/>
      <name val="Fontasy Himali"/>
      <family val="5"/>
    </font>
    <font>
      <sz val="12"/>
      <name val="Fontasy Himali"/>
      <family val="5"/>
    </font>
    <font>
      <sz val="14"/>
      <name val="Fontasy Himali"/>
      <family val="5"/>
    </font>
    <font>
      <b/>
      <sz val="12"/>
      <name val="Times New Roman"/>
      <family val="1"/>
    </font>
    <font>
      <b/>
      <sz val="10"/>
      <name val="Aral"/>
    </font>
    <font>
      <b/>
      <sz val="10"/>
      <name val="Aril"/>
    </font>
    <font>
      <vertAlign val="superscript"/>
      <sz val="10"/>
      <name val="Arial"/>
      <family val="2"/>
    </font>
    <font>
      <sz val="11"/>
      <color theme="1"/>
      <name val="Times New Roman"/>
      <family val="1"/>
    </font>
    <font>
      <b/>
      <sz val="11"/>
      <name val="Times New Roman"/>
      <family val="1"/>
    </font>
    <font>
      <b/>
      <u/>
      <sz val="10"/>
      <name val="FONTASY_ HIMALI_ TT"/>
      <family val="5"/>
    </font>
    <font>
      <sz val="9"/>
      <color theme="1"/>
      <name val="Calibri"/>
      <family val="2"/>
      <scheme val="minor"/>
    </font>
    <font>
      <b/>
      <sz val="11"/>
      <color theme="1"/>
      <name val="Times New Roman"/>
      <family val="1"/>
    </font>
    <font>
      <b/>
      <sz val="8"/>
      <color theme="1"/>
      <name val="Times New Roman"/>
      <family val="1"/>
    </font>
    <font>
      <sz val="10"/>
      <color theme="1"/>
      <name val="Times New Roman"/>
      <family val="1"/>
    </font>
    <font>
      <sz val="8"/>
      <name val="Times New Roman"/>
      <family val="1"/>
    </font>
    <font>
      <sz val="10"/>
      <name val="Fontasy Himali"/>
      <family val="5"/>
    </font>
    <font>
      <sz val="10"/>
      <color theme="1"/>
      <name val="Fontasy Himali"/>
      <family val="5"/>
    </font>
    <font>
      <vertAlign val="superscript"/>
      <sz val="14"/>
      <name val="Times New Roman"/>
      <family val="1"/>
    </font>
    <font>
      <sz val="7"/>
      <name val="Mercantile"/>
      <family val="5"/>
    </font>
    <font>
      <sz val="8"/>
      <name val="Preeti"/>
    </font>
    <font>
      <u/>
      <sz val="11"/>
      <color theme="10"/>
      <name val="Calibri"/>
      <family val="2"/>
    </font>
    <font>
      <b/>
      <sz val="12"/>
      <name val="Preeti"/>
    </font>
    <font>
      <sz val="18"/>
      <name val="Preeti"/>
    </font>
    <font>
      <sz val="11"/>
      <color rgb="FFFF0000"/>
      <name val="FONTASY_ HIMALI_ TT"/>
      <family val="5"/>
    </font>
    <font>
      <b/>
      <sz val="10"/>
      <name val="Fontasy Himali"/>
      <family val="5"/>
    </font>
    <font>
      <b/>
      <sz val="14"/>
      <color theme="1"/>
      <name val="Preeti"/>
    </font>
    <font>
      <b/>
      <sz val="12"/>
      <color rgb="FF000000"/>
      <name val="Times New Roman"/>
      <family val="1"/>
    </font>
    <font>
      <sz val="9"/>
      <name val="Nepali"/>
      <family val="5"/>
    </font>
    <font>
      <sz val="12"/>
      <color theme="1"/>
      <name val="Times New Roman"/>
      <family val="1"/>
    </font>
    <font>
      <b/>
      <sz val="11"/>
      <name val="FONTASY_HIMALI_TT"/>
      <family val="5"/>
    </font>
    <font>
      <b/>
      <sz val="11"/>
      <color theme="1"/>
      <name val="Kalimati"/>
      <charset val="1"/>
    </font>
    <font>
      <sz val="11"/>
      <color theme="1"/>
      <name val="Kalimati"/>
      <charset val="1"/>
    </font>
    <font>
      <b/>
      <sz val="12"/>
      <name val="Arial"/>
      <family val="2"/>
    </font>
    <font>
      <sz val="10"/>
      <color rgb="FFFF0000"/>
      <name val="Times New Roman"/>
      <family val="1"/>
    </font>
    <font>
      <sz val="8"/>
      <color rgb="FFFF0000"/>
      <name val="Mercantile"/>
      <family val="5"/>
    </font>
    <font>
      <sz val="8"/>
      <name val="Calibri"/>
      <family val="2"/>
      <scheme val="minor"/>
    </font>
    <font>
      <b/>
      <sz val="8"/>
      <name val="Fontasy Himali"/>
      <family val="5"/>
    </font>
    <font>
      <sz val="8"/>
      <name val="FONTASY_HIMALI_TT"/>
      <family val="5"/>
    </font>
    <font>
      <sz val="9"/>
      <name val="Fontasy Himali"/>
      <family val="5"/>
    </font>
    <font>
      <sz val="10"/>
      <name val="Calibri"/>
      <family val="2"/>
    </font>
    <font>
      <b/>
      <sz val="12"/>
      <name val="HIMALAYA TT FONT"/>
      <family val="5"/>
    </font>
    <font>
      <sz val="9"/>
      <color theme="1"/>
      <name val="FONTASY_ HIMALI_ TT"/>
      <family val="5"/>
    </font>
    <font>
      <sz val="11"/>
      <color theme="1"/>
      <name val="FONTASY_ HIMALI_ TT"/>
      <family val="5"/>
    </font>
    <font>
      <sz val="9"/>
      <color theme="1"/>
      <name val="Times New Roman"/>
      <family val="1"/>
    </font>
    <font>
      <b/>
      <sz val="9"/>
      <color theme="1"/>
      <name val="Times New Roman"/>
      <family val="1"/>
    </font>
    <font>
      <b/>
      <sz val="12"/>
      <color theme="1"/>
      <name val="Times New Roman"/>
      <family val="1"/>
    </font>
    <font>
      <sz val="8"/>
      <color theme="1"/>
      <name val="Mercantile"/>
      <family val="5"/>
    </font>
    <font>
      <sz val="14"/>
      <color theme="1"/>
      <name val="Preeti"/>
    </font>
    <font>
      <sz val="13"/>
      <color theme="1"/>
      <name val="Preeti"/>
    </font>
    <font>
      <sz val="13"/>
      <color theme="1"/>
      <name val="FONTASY_ HIMALI_ TT"/>
      <family val="5"/>
    </font>
    <font>
      <sz val="18"/>
      <color theme="1"/>
      <name val="Kokila"/>
      <family val="2"/>
    </font>
    <font>
      <b/>
      <sz val="10"/>
      <name val="Eras Light ITC"/>
      <family val="2"/>
    </font>
    <font>
      <b/>
      <sz val="10"/>
      <color theme="1"/>
      <name val="Times New Roman"/>
      <family val="1"/>
    </font>
    <font>
      <sz val="18"/>
      <name val="Mercantile"/>
      <family val="5"/>
    </font>
    <font>
      <sz val="9"/>
      <name val="Kalimati"/>
      <charset val="1"/>
    </font>
    <font>
      <sz val="11"/>
      <name val="Kalimati"/>
      <charset val="1"/>
    </font>
    <font>
      <sz val="10"/>
      <color theme="1"/>
      <name val="Kalimati"/>
      <charset val="1"/>
    </font>
    <font>
      <sz val="10"/>
      <name val="Kalimati"/>
      <charset val="1"/>
    </font>
    <font>
      <b/>
      <sz val="12"/>
      <name val="Kalimati"/>
      <charset val="1"/>
    </font>
    <font>
      <b/>
      <sz val="8"/>
      <name val="Kalimati"/>
      <charset val="1"/>
    </font>
    <font>
      <b/>
      <sz val="11"/>
      <name val="Kalimati"/>
      <charset val="1"/>
    </font>
    <font>
      <b/>
      <sz val="10"/>
      <color theme="1"/>
      <name val="Kalimati"/>
      <charset val="1"/>
    </font>
    <font>
      <b/>
      <sz val="10"/>
      <name val="Kalimati"/>
      <charset val="1"/>
    </font>
    <font>
      <b/>
      <sz val="16"/>
      <name val="Kalimati"/>
      <charset val="1"/>
    </font>
    <font>
      <b/>
      <sz val="14"/>
      <name val="Kalimati"/>
      <charset val="1"/>
    </font>
    <font>
      <b/>
      <sz val="8"/>
      <color theme="1"/>
      <name val="Kalimati"/>
      <charset val="1"/>
    </font>
    <font>
      <b/>
      <sz val="9"/>
      <name val="Kalimati"/>
      <charset val="1"/>
    </font>
    <font>
      <b/>
      <sz val="8"/>
      <name val="Mercantile"/>
      <family val="5"/>
    </font>
    <font>
      <b/>
      <u/>
      <sz val="14"/>
      <name val="Kalimati"/>
      <charset val="1"/>
    </font>
    <font>
      <sz val="8"/>
      <name val="Kalimati"/>
      <charset val="1"/>
    </font>
    <font>
      <sz val="12"/>
      <name val="Kalimati"/>
      <charset val="1"/>
    </font>
    <font>
      <sz val="14"/>
      <color theme="1"/>
      <name val="Times New Roman"/>
      <family val="1"/>
    </font>
    <font>
      <sz val="12"/>
      <color rgb="FF000000"/>
      <name val="Times New Roman"/>
      <family val="1"/>
    </font>
    <font>
      <b/>
      <sz val="11"/>
      <color rgb="FF000000"/>
      <name val="Times New Roman"/>
      <family val="1"/>
    </font>
    <font>
      <b/>
      <vertAlign val="superscript"/>
      <sz val="12"/>
      <name val="Times New Roman"/>
      <family val="1"/>
    </font>
    <font>
      <b/>
      <vertAlign val="subscript"/>
      <sz val="12"/>
      <name val="Times New Roman"/>
      <family val="1"/>
    </font>
    <font>
      <b/>
      <u/>
      <sz val="12"/>
      <color theme="1"/>
      <name val="Times New Roman"/>
      <family val="1"/>
    </font>
    <font>
      <sz val="11"/>
      <name val="FONTASY_HIMALI_TT"/>
      <family val="5"/>
    </font>
    <font>
      <sz val="10"/>
      <name val="Aptos Narrow"/>
      <family val="2"/>
    </font>
    <font>
      <b/>
      <sz val="14"/>
      <color theme="1"/>
      <name val="Kalimati"/>
      <charset val="1"/>
    </font>
    <font>
      <b/>
      <sz val="11"/>
      <color rgb="FF000000"/>
      <name val="Kalimati"/>
      <charset val="1"/>
    </font>
    <font>
      <sz val="10"/>
      <color indexed="8"/>
      <name val="Kalimati"/>
      <charset val="1"/>
    </font>
    <font>
      <sz val="10"/>
      <color theme="1"/>
      <name val="Aptos Narrow"/>
      <family val="2"/>
    </font>
    <font>
      <b/>
      <sz val="10"/>
      <color indexed="8"/>
      <name val="Kalimati"/>
      <charset val="1"/>
    </font>
    <font>
      <b/>
      <sz val="10"/>
      <color theme="1"/>
      <name val="Aptos Narrow"/>
      <family val="2"/>
    </font>
    <font>
      <b/>
      <sz val="9"/>
      <color theme="1"/>
      <name val="Kalimati"/>
      <charset val="1"/>
    </font>
    <font>
      <sz val="8"/>
      <color theme="1"/>
      <name val="Kalimati"/>
      <charset val="1"/>
    </font>
    <font>
      <b/>
      <sz val="10"/>
      <name val="Preeti"/>
    </font>
    <font>
      <b/>
      <sz val="9"/>
      <name val="Fontasy Himali"/>
      <family val="5"/>
    </font>
    <font>
      <sz val="9"/>
      <name val="Preeti"/>
    </font>
    <font>
      <sz val="11"/>
      <name val="Aptos Narrow"/>
      <family val="2"/>
    </font>
    <font>
      <b/>
      <sz val="9"/>
      <name val="Calibri"/>
      <family val="2"/>
      <scheme val="minor"/>
    </font>
    <font>
      <sz val="9"/>
      <name val="Aptos Narrow"/>
      <family val="2"/>
    </font>
    <font>
      <b/>
      <sz val="8"/>
      <color theme="1"/>
      <name val="FONTASY_ HIMALI_ TT"/>
      <family val="5"/>
    </font>
    <font>
      <b/>
      <sz val="10"/>
      <name val="Aptos Narrow"/>
      <family val="2"/>
    </font>
    <font>
      <sz val="9"/>
      <name val="Mercantile"/>
      <family val="5"/>
    </font>
    <font>
      <sz val="10"/>
      <name val="Mercantile"/>
      <family val="5"/>
    </font>
    <font>
      <b/>
      <sz val="11"/>
      <color theme="1"/>
      <name val="Aptos Narrow"/>
      <family val="2"/>
    </font>
    <font>
      <b/>
      <u/>
      <sz val="9"/>
      <name val="Times New Roman"/>
      <family val="1"/>
    </font>
    <font>
      <sz val="14"/>
      <name val="Mercantile"/>
      <family val="5"/>
    </font>
    <font>
      <b/>
      <u/>
      <sz val="9"/>
      <name val="Kalimati"/>
      <charset val="1"/>
    </font>
    <font>
      <sz val="10"/>
      <name val="Times New Roman"/>
      <family val="1"/>
      <charset val="1"/>
    </font>
    <font>
      <b/>
      <u/>
      <sz val="11"/>
      <name val="Times New Roman"/>
      <family val="1"/>
    </font>
    <font>
      <b/>
      <sz val="12"/>
      <color theme="1"/>
      <name val="Calibri"/>
      <family val="2"/>
      <scheme val="minor"/>
    </font>
    <font>
      <sz val="14"/>
      <name val="Kalimati"/>
      <charset val="1"/>
    </font>
    <font>
      <sz val="8"/>
      <color theme="1"/>
      <name val="Times New Roman"/>
      <family val="1"/>
    </font>
    <font>
      <b/>
      <sz val="11"/>
      <name val="Times New Roman"/>
      <family val="1"/>
      <charset val="1"/>
    </font>
    <font>
      <vertAlign val="superscript"/>
      <sz val="12"/>
      <name val="Times New Roman"/>
      <family val="1"/>
    </font>
    <font>
      <sz val="14"/>
      <color rgb="FFC00000"/>
      <name val="Kalimati"/>
      <charset val="1"/>
    </font>
    <font>
      <sz val="12"/>
      <color rgb="FFC00000"/>
      <name val="Fontasy Himali"/>
      <family val="5"/>
    </font>
    <font>
      <sz val="12"/>
      <color rgb="FF002060"/>
      <name val="Fontasy Himali"/>
      <family val="5"/>
    </font>
    <font>
      <sz val="11"/>
      <color rgb="FF002060"/>
      <name val="Fontasy Himali"/>
      <family val="5"/>
    </font>
    <font>
      <sz val="10"/>
      <color rgb="FFC00000"/>
      <name val="Kalimati"/>
      <charset val="1"/>
    </font>
    <font>
      <sz val="10"/>
      <name val="ति"/>
    </font>
    <font>
      <b/>
      <sz val="24"/>
      <name val="Kalimati"/>
      <charset val="1"/>
    </font>
  </fonts>
  <fills count="13">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indexed="9"/>
        <bgColor indexed="64"/>
      </patternFill>
    </fill>
    <fill>
      <patternFill patternType="solid">
        <fgColor rgb="FFFFFF00"/>
        <bgColor indexed="64"/>
      </patternFill>
    </fill>
    <fill>
      <patternFill patternType="solid">
        <fgColor theme="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slantDashDot">
        <color indexed="64"/>
      </left>
      <right style="slantDashDot">
        <color indexed="64"/>
      </right>
      <top style="slantDashDot">
        <color indexed="64"/>
      </top>
      <bottom style="slantDashDot">
        <color indexed="64"/>
      </bottom>
      <diagonal/>
    </border>
    <border>
      <left style="thin">
        <color indexed="64"/>
      </left>
      <right/>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4">
    <xf numFmtId="0" fontId="0" fillId="0" borderId="0"/>
    <xf numFmtId="0" fontId="3" fillId="0" borderId="0"/>
    <xf numFmtId="43" fontId="10" fillId="0" borderId="0" applyFont="0" applyFill="0" applyBorder="0" applyAlignment="0" applyProtection="0"/>
    <xf numFmtId="0" fontId="10" fillId="0" borderId="0"/>
    <xf numFmtId="0" fontId="10" fillId="0" borderId="0"/>
    <xf numFmtId="0" fontId="1" fillId="0" borderId="0"/>
    <xf numFmtId="0" fontId="90" fillId="0" borderId="0" applyNumberFormat="0" applyFill="0" applyBorder="0" applyAlignment="0" applyProtection="0">
      <alignment vertical="top"/>
      <protection locked="0"/>
    </xf>
    <xf numFmtId="0" fontId="3"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43" fontId="3" fillId="0" borderId="0" applyFont="0" applyFill="0" applyBorder="0" applyAlignment="0" applyProtection="0"/>
  </cellStyleXfs>
  <cellXfs count="1734">
    <xf numFmtId="0" fontId="0" fillId="0" borderId="0" xfId="0"/>
    <xf numFmtId="0" fontId="5" fillId="0" borderId="0" xfId="1" applyFont="1"/>
    <xf numFmtId="0" fontId="8" fillId="0" borderId="4" xfId="1" applyFont="1" applyBorder="1"/>
    <xf numFmtId="0" fontId="8" fillId="0" borderId="0" xfId="1" applyFont="1"/>
    <xf numFmtId="0" fontId="3" fillId="0" borderId="0" xfId="1" applyAlignment="1">
      <alignment vertical="center"/>
    </xf>
    <xf numFmtId="0" fontId="3" fillId="0" borderId="0" xfId="1"/>
    <xf numFmtId="0" fontId="15" fillId="0" borderId="0" xfId="1" applyFont="1"/>
    <xf numFmtId="1" fontId="4" fillId="0" borderId="30" xfId="1" applyNumberFormat="1" applyFont="1" applyBorder="1" applyAlignment="1">
      <alignment horizontal="right"/>
    </xf>
    <xf numFmtId="1" fontId="4" fillId="0" borderId="30" xfId="1" applyNumberFormat="1" applyFont="1" applyBorder="1" applyAlignment="1">
      <alignment vertical="center"/>
    </xf>
    <xf numFmtId="1" fontId="4" fillId="0" borderId="30" xfId="1" applyNumberFormat="1" applyFont="1" applyBorder="1" applyAlignment="1">
      <alignment horizontal="right" vertical="center"/>
    </xf>
    <xf numFmtId="1" fontId="4" fillId="0" borderId="30" xfId="1" applyNumberFormat="1" applyFont="1" applyBorder="1" applyAlignment="1">
      <alignment horizontal="center" vertical="center"/>
    </xf>
    <xf numFmtId="1" fontId="4" fillId="0" borderId="30" xfId="1" applyNumberFormat="1" applyFont="1" applyBorder="1" applyAlignment="1">
      <alignment horizontal="right" vertical="center" wrapText="1"/>
    </xf>
    <xf numFmtId="1" fontId="4" fillId="0" borderId="30" xfId="1" applyNumberFormat="1" applyFont="1" applyBorder="1" applyAlignment="1">
      <alignment horizontal="right" wrapText="1"/>
    </xf>
    <xf numFmtId="0" fontId="20" fillId="0" borderId="0" xfId="1" applyFont="1"/>
    <xf numFmtId="0" fontId="10" fillId="0" borderId="30" xfId="1" applyFont="1" applyBorder="1"/>
    <xf numFmtId="0" fontId="19" fillId="0" borderId="30" xfId="1" applyFont="1" applyBorder="1" applyAlignment="1">
      <alignment vertical="center" wrapText="1"/>
    </xf>
    <xf numFmtId="43" fontId="3" fillId="0" borderId="0" xfId="1" applyNumberFormat="1"/>
    <xf numFmtId="0" fontId="19" fillId="0" borderId="30" xfId="1" applyFont="1" applyBorder="1" applyAlignment="1">
      <alignment vertical="center"/>
    </xf>
    <xf numFmtId="0" fontId="19" fillId="0" borderId="30" xfId="1" applyFont="1" applyBorder="1" applyAlignment="1">
      <alignment horizontal="left" vertical="center"/>
    </xf>
    <xf numFmtId="0" fontId="19" fillId="0" borderId="30" xfId="1" applyFont="1" applyBorder="1" applyAlignment="1">
      <alignment horizontal="left" vertical="center" indent="5"/>
    </xf>
    <xf numFmtId="0" fontId="19" fillId="0" borderId="30" xfId="1" applyFont="1" applyBorder="1" applyAlignment="1">
      <alignment horizontal="left" vertical="center" wrapText="1"/>
    </xf>
    <xf numFmtId="0" fontId="3" fillId="0" borderId="0" xfId="1" applyAlignment="1">
      <alignment horizontal="center"/>
    </xf>
    <xf numFmtId="0" fontId="33" fillId="3" borderId="19" xfId="1" applyFont="1" applyFill="1" applyBorder="1" applyAlignment="1">
      <alignment vertical="center"/>
    </xf>
    <xf numFmtId="0" fontId="34" fillId="0" borderId="26" xfId="1" applyFont="1" applyBorder="1" applyAlignment="1">
      <alignment horizontal="center" vertical="center" wrapText="1"/>
    </xf>
    <xf numFmtId="2" fontId="20" fillId="0" borderId="30" xfId="1" applyNumberFormat="1" applyFont="1" applyBorder="1" applyAlignment="1">
      <alignment horizontal="left"/>
    </xf>
    <xf numFmtId="0" fontId="20" fillId="0" borderId="30" xfId="1" applyFont="1" applyBorder="1" applyAlignment="1">
      <alignment horizontal="center"/>
    </xf>
    <xf numFmtId="2" fontId="34" fillId="0" borderId="30" xfId="1" applyNumberFormat="1" applyFont="1" applyBorder="1"/>
    <xf numFmtId="2" fontId="19" fillId="0" borderId="30" xfId="1" applyNumberFormat="1" applyFont="1" applyBorder="1"/>
    <xf numFmtId="2" fontId="19" fillId="0" borderId="16" xfId="1" applyNumberFormat="1" applyFont="1" applyBorder="1"/>
    <xf numFmtId="166" fontId="23" fillId="0" borderId="33" xfId="2" applyNumberFormat="1" applyFont="1" applyBorder="1" applyAlignment="1">
      <alignment horizontal="center"/>
    </xf>
    <xf numFmtId="0" fontId="33" fillId="0" borderId="30" xfId="1" applyFont="1" applyBorder="1" applyAlignment="1">
      <alignment horizontal="center"/>
    </xf>
    <xf numFmtId="2" fontId="35" fillId="0" borderId="30" xfId="1" applyNumberFormat="1" applyFont="1" applyBorder="1"/>
    <xf numFmtId="2" fontId="16" fillId="0" borderId="30" xfId="1" applyNumberFormat="1" applyFont="1" applyBorder="1"/>
    <xf numFmtId="2" fontId="16" fillId="0" borderId="16" xfId="1" applyNumberFormat="1" applyFont="1" applyBorder="1"/>
    <xf numFmtId="0" fontId="20" fillId="0" borderId="30" xfId="1" applyFont="1" applyBorder="1"/>
    <xf numFmtId="2" fontId="20" fillId="2" borderId="30" xfId="1" applyNumberFormat="1" applyFont="1" applyFill="1" applyBorder="1" applyAlignment="1">
      <alignment horizontal="left"/>
    </xf>
    <xf numFmtId="2" fontId="20" fillId="0" borderId="30" xfId="1" applyNumberFormat="1" applyFont="1" applyBorder="1"/>
    <xf numFmtId="0" fontId="20" fillId="0" borderId="30" xfId="1" applyFont="1" applyBorder="1" applyAlignment="1">
      <alignment horizontal="center" vertical="center"/>
    </xf>
    <xf numFmtId="2" fontId="34" fillId="0" borderId="30" xfId="1" applyNumberFormat="1" applyFont="1" applyBorder="1" applyAlignment="1">
      <alignment vertical="center"/>
    </xf>
    <xf numFmtId="2" fontId="19" fillId="0" borderId="30" xfId="1" applyNumberFormat="1" applyFont="1" applyBorder="1" applyAlignment="1">
      <alignment vertical="center"/>
    </xf>
    <xf numFmtId="2" fontId="19" fillId="0" borderId="16" xfId="1" applyNumberFormat="1" applyFont="1" applyBorder="1" applyAlignment="1">
      <alignment vertical="center"/>
    </xf>
    <xf numFmtId="1" fontId="20" fillId="0" borderId="15" xfId="1" applyNumberFormat="1" applyFont="1" applyBorder="1" applyAlignment="1">
      <alignment horizontal="center"/>
    </xf>
    <xf numFmtId="2" fontId="34" fillId="2" borderId="30" xfId="1" applyNumberFormat="1" applyFont="1" applyFill="1" applyBorder="1"/>
    <xf numFmtId="2" fontId="19" fillId="2" borderId="30" xfId="1" applyNumberFormat="1" applyFont="1" applyFill="1" applyBorder="1"/>
    <xf numFmtId="2" fontId="19" fillId="2" borderId="16" xfId="1" applyNumberFormat="1" applyFont="1" applyFill="1" applyBorder="1"/>
    <xf numFmtId="2" fontId="20" fillId="2" borderId="30" xfId="1" applyNumberFormat="1" applyFont="1" applyFill="1" applyBorder="1" applyAlignment="1">
      <alignment horizontal="left" vertical="center"/>
    </xf>
    <xf numFmtId="0" fontId="20" fillId="2" borderId="30" xfId="1" applyFont="1" applyFill="1" applyBorder="1" applyAlignment="1">
      <alignment horizontal="center" vertical="center"/>
    </xf>
    <xf numFmtId="2" fontId="34" fillId="2" borderId="30" xfId="1" applyNumberFormat="1" applyFont="1" applyFill="1" applyBorder="1" applyAlignment="1">
      <alignment vertical="center"/>
    </xf>
    <xf numFmtId="2" fontId="19" fillId="2" borderId="30" xfId="1" applyNumberFormat="1" applyFont="1" applyFill="1" applyBorder="1" applyAlignment="1">
      <alignment vertical="center"/>
    </xf>
    <xf numFmtId="2" fontId="20" fillId="2" borderId="30" xfId="1" applyNumberFormat="1" applyFont="1" applyFill="1" applyBorder="1" applyAlignment="1">
      <alignment horizontal="left" vertical="center" wrapText="1"/>
    </xf>
    <xf numFmtId="1" fontId="20" fillId="0" borderId="30" xfId="1" applyNumberFormat="1" applyFont="1" applyBorder="1" applyAlignment="1">
      <alignment horizontal="left"/>
    </xf>
    <xf numFmtId="0" fontId="44" fillId="0" borderId="30" xfId="1" applyFont="1" applyBorder="1" applyAlignment="1">
      <alignment vertical="center" wrapText="1"/>
    </xf>
    <xf numFmtId="0" fontId="20" fillId="0" borderId="30" xfId="1" applyFont="1" applyBorder="1" applyAlignment="1">
      <alignment horizontal="center" vertical="center" wrapText="1"/>
    </xf>
    <xf numFmtId="0" fontId="4" fillId="0" borderId="30" xfId="1" applyFont="1" applyBorder="1" applyAlignment="1">
      <alignment vertical="center" wrapText="1"/>
    </xf>
    <xf numFmtId="0" fontId="44" fillId="0" borderId="30" xfId="1" applyFont="1" applyBorder="1" applyAlignment="1">
      <alignment horizontal="justify" vertical="center" wrapText="1"/>
    </xf>
    <xf numFmtId="0" fontId="44" fillId="0" borderId="30" xfId="1" applyFont="1" applyBorder="1" applyAlignment="1">
      <alignment horizontal="justify" vertical="top" wrapText="1"/>
    </xf>
    <xf numFmtId="0" fontId="44" fillId="0" borderId="30" xfId="1" applyFont="1" applyBorder="1" applyAlignment="1">
      <alignment vertical="top" wrapText="1"/>
    </xf>
    <xf numFmtId="2" fontId="19" fillId="0" borderId="26" xfId="1" applyNumberFormat="1" applyFont="1" applyBorder="1"/>
    <xf numFmtId="2" fontId="19" fillId="0" borderId="17" xfId="1" applyNumberFormat="1" applyFont="1" applyBorder="1"/>
    <xf numFmtId="2" fontId="19" fillId="0" borderId="0" xfId="1" applyNumberFormat="1" applyFont="1"/>
    <xf numFmtId="0" fontId="20" fillId="0" borderId="0" xfId="1" applyFont="1" applyAlignment="1">
      <alignment horizontal="center"/>
    </xf>
    <xf numFmtId="0" fontId="20" fillId="0" borderId="0" xfId="1" applyFont="1" applyAlignment="1">
      <alignment vertical="center" wrapText="1"/>
    </xf>
    <xf numFmtId="0" fontId="19" fillId="0" borderId="0" xfId="1" applyFont="1"/>
    <xf numFmtId="0" fontId="34" fillId="0" borderId="33" xfId="1" applyFont="1" applyBorder="1"/>
    <xf numFmtId="2" fontId="20" fillId="0" borderId="30" xfId="1" applyNumberFormat="1" applyFont="1" applyBorder="1" applyAlignment="1">
      <alignment horizontal="left" wrapText="1"/>
    </xf>
    <xf numFmtId="1" fontId="33" fillId="0" borderId="15" xfId="1" applyNumberFormat="1" applyFont="1" applyBorder="1" applyAlignment="1">
      <alignment horizontal="center"/>
    </xf>
    <xf numFmtId="2" fontId="20" fillId="0" borderId="30" xfId="1" applyNumberFormat="1" applyFont="1" applyBorder="1" applyAlignment="1">
      <alignment horizontal="left" vertical="top" wrapText="1"/>
    </xf>
    <xf numFmtId="2" fontId="20" fillId="0" borderId="30" xfId="1" applyNumberFormat="1" applyFont="1" applyBorder="1" applyAlignment="1">
      <alignment horizontal="left" vertical="center"/>
    </xf>
    <xf numFmtId="166" fontId="18" fillId="0" borderId="33" xfId="2" applyNumberFormat="1" applyFont="1" applyBorder="1" applyAlignment="1"/>
    <xf numFmtId="1" fontId="33" fillId="0" borderId="15" xfId="1" applyNumberFormat="1" applyFont="1" applyBorder="1" applyAlignment="1">
      <alignment horizontal="center" vertical="center"/>
    </xf>
    <xf numFmtId="2" fontId="19" fillId="0" borderId="13" xfId="1" applyNumberFormat="1" applyFont="1" applyBorder="1"/>
    <xf numFmtId="1" fontId="20" fillId="0" borderId="30" xfId="1" applyNumberFormat="1" applyFont="1" applyBorder="1" applyAlignment="1">
      <alignment horizontal="left" wrapText="1"/>
    </xf>
    <xf numFmtId="0" fontId="37" fillId="0" borderId="30" xfId="1" applyFont="1" applyBorder="1" applyAlignment="1">
      <alignment vertical="center" wrapText="1"/>
    </xf>
    <xf numFmtId="0" fontId="20" fillId="0" borderId="26" xfId="1" applyFont="1" applyBorder="1" applyAlignment="1">
      <alignment horizontal="center"/>
    </xf>
    <xf numFmtId="0" fontId="4" fillId="0" borderId="26" xfId="1" applyFont="1" applyBorder="1" applyAlignment="1">
      <alignment vertical="center" wrapText="1"/>
    </xf>
    <xf numFmtId="2" fontId="20" fillId="0" borderId="30" xfId="1" applyNumberFormat="1" applyFont="1" applyBorder="1" applyAlignment="1">
      <alignment horizontal="center"/>
    </xf>
    <xf numFmtId="2" fontId="58" fillId="0" borderId="30" xfId="1" applyNumberFormat="1" applyFont="1" applyBorder="1"/>
    <xf numFmtId="2" fontId="19" fillId="0" borderId="30" xfId="1" applyNumberFormat="1" applyFont="1" applyBorder="1" applyAlignment="1">
      <alignment horizontal="center" vertical="top" wrapText="1"/>
    </xf>
    <xf numFmtId="1" fontId="20" fillId="0" borderId="30" xfId="1" applyNumberFormat="1" applyFont="1" applyBorder="1" applyAlignment="1">
      <alignment horizontal="left" vertical="top" wrapText="1"/>
    </xf>
    <xf numFmtId="0" fontId="55" fillId="0" borderId="0" xfId="1" applyFont="1"/>
    <xf numFmtId="0" fontId="20" fillId="2" borderId="30" xfId="1" applyFont="1" applyFill="1" applyBorder="1" applyAlignment="1">
      <alignment vertical="center" wrapText="1"/>
    </xf>
    <xf numFmtId="2" fontId="20" fillId="2" borderId="30" xfId="1" applyNumberFormat="1" applyFont="1" applyFill="1" applyBorder="1" applyAlignment="1">
      <alignment horizontal="left" wrapText="1"/>
    </xf>
    <xf numFmtId="0" fontId="66" fillId="0" borderId="0" xfId="4" applyFont="1"/>
    <xf numFmtId="0" fontId="21" fillId="4" borderId="26" xfId="4" applyFont="1" applyFill="1" applyBorder="1" applyAlignment="1">
      <alignment horizontal="center" vertical="center"/>
    </xf>
    <xf numFmtId="0" fontId="70" fillId="0" borderId="19" xfId="4" applyFont="1" applyBorder="1" applyAlignment="1">
      <alignment horizontal="center"/>
    </xf>
    <xf numFmtId="0" fontId="42" fillId="0" borderId="19" xfId="4" applyFont="1" applyBorder="1" applyAlignment="1">
      <alignment horizontal="center"/>
    </xf>
    <xf numFmtId="2" fontId="70" fillId="0" borderId="19" xfId="4" applyNumberFormat="1" applyFont="1" applyBorder="1" applyAlignment="1">
      <alignment horizontal="center"/>
    </xf>
    <xf numFmtId="2" fontId="70" fillId="0" borderId="19" xfId="4" applyNumberFormat="1" applyFont="1" applyBorder="1"/>
    <xf numFmtId="0" fontId="70" fillId="0" borderId="15" xfId="4" applyFont="1" applyBorder="1" applyAlignment="1">
      <alignment horizontal="center"/>
    </xf>
    <xf numFmtId="0" fontId="70" fillId="0" borderId="30" xfId="4" applyFont="1" applyBorder="1" applyAlignment="1">
      <alignment horizontal="center"/>
    </xf>
    <xf numFmtId="0" fontId="42" fillId="0" borderId="30" xfId="4" applyFont="1" applyBorder="1" applyAlignment="1">
      <alignment horizontal="center"/>
    </xf>
    <xf numFmtId="2" fontId="70" fillId="0" borderId="30" xfId="4" applyNumberFormat="1" applyFont="1" applyBorder="1" applyAlignment="1">
      <alignment horizontal="center"/>
    </xf>
    <xf numFmtId="2" fontId="70" fillId="0" borderId="30" xfId="4" applyNumberFormat="1" applyFont="1" applyBorder="1"/>
    <xf numFmtId="0" fontId="70" fillId="0" borderId="23" xfId="4" applyFont="1" applyBorder="1" applyAlignment="1">
      <alignment horizontal="center"/>
    </xf>
    <xf numFmtId="0" fontId="70" fillId="0" borderId="25" xfId="4" applyFont="1" applyBorder="1" applyAlignment="1">
      <alignment horizontal="center"/>
    </xf>
    <xf numFmtId="0" fontId="70" fillId="0" borderId="26" xfId="4" applyFont="1" applyBorder="1" applyAlignment="1">
      <alignment horizontal="center"/>
    </xf>
    <xf numFmtId="0" fontId="42" fillId="0" borderId="26" xfId="4" applyFont="1" applyBorder="1" applyAlignment="1">
      <alignment horizontal="center"/>
    </xf>
    <xf numFmtId="2" fontId="70" fillId="0" borderId="26" xfId="4" applyNumberFormat="1" applyFont="1" applyBorder="1"/>
    <xf numFmtId="0" fontId="71" fillId="0" borderId="0" xfId="4" applyFont="1" applyAlignment="1">
      <alignment horizontal="center"/>
    </xf>
    <xf numFmtId="0" fontId="71" fillId="0" borderId="0" xfId="4" applyFont="1"/>
    <xf numFmtId="0" fontId="66" fillId="0" borderId="0" xfId="4" applyFont="1" applyAlignment="1">
      <alignment horizontal="center"/>
    </xf>
    <xf numFmtId="2" fontId="72" fillId="0" borderId="30" xfId="4" applyNumberFormat="1" applyFont="1" applyBorder="1"/>
    <xf numFmtId="0" fontId="72" fillId="0" borderId="15" xfId="4" applyFont="1" applyBorder="1" applyAlignment="1">
      <alignment horizontal="center"/>
    </xf>
    <xf numFmtId="0" fontId="72" fillId="0" borderId="30" xfId="4" applyFont="1" applyBorder="1" applyAlignment="1">
      <alignment horizontal="center"/>
    </xf>
    <xf numFmtId="0" fontId="41" fillId="0" borderId="30" xfId="4" applyFont="1" applyBorder="1" applyAlignment="1">
      <alignment horizontal="center"/>
    </xf>
    <xf numFmtId="2" fontId="72" fillId="0" borderId="30" xfId="4" applyNumberFormat="1" applyFont="1" applyBorder="1" applyAlignment="1">
      <alignment horizontal="center"/>
    </xf>
    <xf numFmtId="0" fontId="72" fillId="0" borderId="23" xfId="4" applyFont="1" applyBorder="1" applyAlignment="1">
      <alignment horizontal="center"/>
    </xf>
    <xf numFmtId="0" fontId="41" fillId="0" borderId="23" xfId="4" applyFont="1" applyBorder="1" applyAlignment="1">
      <alignment horizontal="center"/>
    </xf>
    <xf numFmtId="0" fontId="72" fillId="0" borderId="25" xfId="4" applyFont="1" applyBorder="1" applyAlignment="1">
      <alignment horizontal="center"/>
    </xf>
    <xf numFmtId="0" fontId="72" fillId="0" borderId="26" xfId="4" applyFont="1" applyBorder="1" applyAlignment="1">
      <alignment horizontal="center"/>
    </xf>
    <xf numFmtId="0" fontId="41" fillId="0" borderId="26" xfId="4" applyFont="1" applyBorder="1" applyAlignment="1">
      <alignment horizontal="center"/>
    </xf>
    <xf numFmtId="2" fontId="72" fillId="0" borderId="26" xfId="4" applyNumberFormat="1" applyFont="1" applyBorder="1"/>
    <xf numFmtId="1" fontId="28" fillId="0" borderId="23" xfId="4" applyNumberFormat="1" applyFont="1" applyBorder="1"/>
    <xf numFmtId="0" fontId="21" fillId="0" borderId="0" xfId="1" applyFont="1"/>
    <xf numFmtId="2" fontId="33" fillId="0" borderId="30" xfId="1" applyNumberFormat="1" applyFont="1" applyBorder="1"/>
    <xf numFmtId="2" fontId="20" fillId="2" borderId="30" xfId="1" applyNumberFormat="1" applyFont="1" applyFill="1" applyBorder="1"/>
    <xf numFmtId="0" fontId="20" fillId="0" borderId="30" xfId="1" applyFont="1" applyBorder="1" applyAlignment="1">
      <alignment vertical="center" wrapText="1"/>
    </xf>
    <xf numFmtId="0" fontId="19" fillId="0" borderId="30" xfId="1" applyFont="1" applyBorder="1"/>
    <xf numFmtId="2" fontId="37" fillId="0" borderId="30" xfId="1" applyNumberFormat="1" applyFont="1" applyBorder="1"/>
    <xf numFmtId="0" fontId="3" fillId="0" borderId="30" xfId="1" applyBorder="1"/>
    <xf numFmtId="0" fontId="33" fillId="3" borderId="26" xfId="1" applyFont="1" applyFill="1" applyBorder="1" applyAlignment="1">
      <alignment horizontal="center" vertical="center" wrapText="1"/>
    </xf>
    <xf numFmtId="2" fontId="19" fillId="2" borderId="13" xfId="1" applyNumberFormat="1" applyFont="1" applyFill="1" applyBorder="1"/>
    <xf numFmtId="0" fontId="43" fillId="2" borderId="30" xfId="1" applyFont="1" applyFill="1" applyBorder="1" applyAlignment="1">
      <alignment vertical="center" wrapText="1"/>
    </xf>
    <xf numFmtId="0" fontId="20" fillId="2" borderId="30" xfId="1" applyFont="1" applyFill="1" applyBorder="1" applyAlignment="1">
      <alignment horizontal="center" vertical="center" wrapText="1"/>
    </xf>
    <xf numFmtId="0" fontId="4" fillId="2" borderId="30" xfId="1" applyFont="1" applyFill="1" applyBorder="1" applyAlignment="1">
      <alignment vertical="center" wrapText="1"/>
    </xf>
    <xf numFmtId="1" fontId="33" fillId="2" borderId="15" xfId="1" applyNumberFormat="1" applyFont="1" applyFill="1" applyBorder="1" applyAlignment="1">
      <alignment horizontal="right" vertical="center"/>
    </xf>
    <xf numFmtId="167" fontId="33" fillId="2" borderId="15" xfId="1" applyNumberFormat="1" applyFont="1" applyFill="1" applyBorder="1" applyAlignment="1">
      <alignment horizontal="right" vertical="center"/>
    </xf>
    <xf numFmtId="167" fontId="20" fillId="2" borderId="15" xfId="1" applyNumberFormat="1" applyFont="1" applyFill="1" applyBorder="1" applyAlignment="1">
      <alignment horizontal="right" vertical="center"/>
    </xf>
    <xf numFmtId="1" fontId="20" fillId="2" borderId="15" xfId="1" applyNumberFormat="1" applyFont="1" applyFill="1" applyBorder="1" applyAlignment="1">
      <alignment horizontal="right" vertical="center"/>
    </xf>
    <xf numFmtId="1" fontId="20" fillId="0" borderId="25" xfId="1" applyNumberFormat="1" applyFont="1" applyBorder="1" applyAlignment="1">
      <alignment horizontal="left"/>
    </xf>
    <xf numFmtId="0" fontId="61" fillId="0" borderId="26" xfId="1" applyFont="1" applyBorder="1" applyAlignment="1">
      <alignment vertical="center" wrapText="1"/>
    </xf>
    <xf numFmtId="0" fontId="4" fillId="0" borderId="31" xfId="1" applyFont="1" applyBorder="1" applyAlignment="1">
      <alignment vertical="center" wrapText="1"/>
    </xf>
    <xf numFmtId="1" fontId="20" fillId="0" borderId="12" xfId="1" applyNumberFormat="1" applyFont="1" applyBorder="1" applyAlignment="1">
      <alignment horizontal="center"/>
    </xf>
    <xf numFmtId="1" fontId="20" fillId="0" borderId="0" xfId="1" applyNumberFormat="1" applyFont="1" applyAlignment="1">
      <alignment horizontal="left"/>
    </xf>
    <xf numFmtId="0" fontId="61" fillId="0" borderId="0" xfId="1" applyFont="1" applyAlignment="1">
      <alignment vertical="center" wrapText="1"/>
    </xf>
    <xf numFmtId="0" fontId="4" fillId="0" borderId="0" xfId="1" applyFont="1" applyAlignment="1">
      <alignment vertical="center" wrapText="1"/>
    </xf>
    <xf numFmtId="1" fontId="33" fillId="0" borderId="0" xfId="1" applyNumberFormat="1" applyFont="1" applyAlignment="1">
      <alignment horizontal="left"/>
    </xf>
    <xf numFmtId="0" fontId="32" fillId="0" borderId="0" xfId="1" applyFont="1" applyAlignment="1">
      <alignment vertical="top" wrapText="1"/>
    </xf>
    <xf numFmtId="1" fontId="79" fillId="0" borderId="30" xfId="1" applyNumberFormat="1" applyFont="1" applyBorder="1" applyAlignment="1">
      <alignment horizontal="left" vertical="center"/>
    </xf>
    <xf numFmtId="2" fontId="20" fillId="0" borderId="30" xfId="1" applyNumberFormat="1" applyFont="1" applyBorder="1" applyAlignment="1">
      <alignment wrapText="1"/>
    </xf>
    <xf numFmtId="2" fontId="20" fillId="0" borderId="30" xfId="1" applyNumberFormat="1" applyFont="1" applyBorder="1" applyAlignment="1">
      <alignment horizontal="center" wrapText="1"/>
    </xf>
    <xf numFmtId="2" fontId="19" fillId="0" borderId="30" xfId="1" applyNumberFormat="1" applyFont="1" applyBorder="1" applyAlignment="1">
      <alignment horizontal="left"/>
    </xf>
    <xf numFmtId="2" fontId="14" fillId="0" borderId="30" xfId="1" applyNumberFormat="1" applyFont="1" applyBorder="1" applyAlignment="1">
      <alignment horizontal="left" indent="4"/>
    </xf>
    <xf numFmtId="2" fontId="20" fillId="0" borderId="30" xfId="1" applyNumberFormat="1" applyFont="1" applyBorder="1" applyAlignment="1">
      <alignment vertical="center"/>
    </xf>
    <xf numFmtId="1" fontId="20" fillId="0" borderId="30" xfId="1" applyNumberFormat="1" applyFont="1" applyBorder="1" applyAlignment="1">
      <alignment horizontal="left" vertical="center" wrapText="1"/>
    </xf>
    <xf numFmtId="0" fontId="80" fillId="2" borderId="0" xfId="5" applyFont="1" applyFill="1"/>
    <xf numFmtId="0" fontId="77" fillId="2" borderId="30" xfId="5" applyFont="1" applyFill="1" applyBorder="1"/>
    <xf numFmtId="2" fontId="36" fillId="0" borderId="30" xfId="1" applyNumberFormat="1" applyFont="1" applyBorder="1"/>
    <xf numFmtId="2" fontId="48" fillId="0" borderId="30" xfId="1" applyNumberFormat="1" applyFont="1" applyBorder="1" applyAlignment="1">
      <alignment horizontal="center"/>
    </xf>
    <xf numFmtId="2" fontId="73" fillId="0" borderId="30" xfId="1" applyNumberFormat="1" applyFont="1" applyBorder="1" applyAlignment="1">
      <alignment horizontal="left" vertical="center"/>
    </xf>
    <xf numFmtId="1" fontId="9" fillId="0" borderId="30" xfId="1" applyNumberFormat="1" applyFont="1" applyBorder="1" applyAlignment="1">
      <alignment horizontal="left" vertical="center" wrapText="1"/>
    </xf>
    <xf numFmtId="0" fontId="66" fillId="0" borderId="0" xfId="1" applyFont="1"/>
    <xf numFmtId="0" fontId="40" fillId="0" borderId="30" xfId="1" applyFont="1" applyBorder="1"/>
    <xf numFmtId="0" fontId="66" fillId="0" borderId="30" xfId="1" applyFont="1" applyBorder="1"/>
    <xf numFmtId="0" fontId="10" fillId="0" borderId="0" xfId="1" applyFont="1"/>
    <xf numFmtId="2" fontId="20" fillId="0" borderId="0" xfId="1" applyNumberFormat="1" applyFont="1"/>
    <xf numFmtId="166" fontId="18" fillId="2" borderId="33" xfId="2" applyNumberFormat="1" applyFont="1" applyFill="1" applyBorder="1" applyAlignment="1"/>
    <xf numFmtId="2" fontId="19" fillId="0" borderId="30" xfId="1" applyNumberFormat="1" applyFont="1" applyBorder="1" applyAlignment="1">
      <alignment horizontal="right" vertical="center"/>
    </xf>
    <xf numFmtId="167" fontId="20" fillId="0" borderId="30" xfId="1" applyNumberFormat="1" applyFont="1" applyBorder="1"/>
    <xf numFmtId="0" fontId="49" fillId="4" borderId="26" xfId="4" applyFont="1" applyFill="1" applyBorder="1" applyAlignment="1">
      <alignment horizontal="center" vertical="center"/>
    </xf>
    <xf numFmtId="2" fontId="40" fillId="0" borderId="30" xfId="1" applyNumberFormat="1" applyFont="1" applyBorder="1" applyProtection="1">
      <protection locked="0"/>
    </xf>
    <xf numFmtId="2" fontId="40" fillId="0" borderId="30" xfId="1" applyNumberFormat="1" applyFont="1" applyBorder="1"/>
    <xf numFmtId="10" fontId="44" fillId="0" borderId="16" xfId="1" applyNumberFormat="1" applyFont="1" applyBorder="1" applyAlignment="1">
      <alignment horizontal="center" vertical="center"/>
    </xf>
    <xf numFmtId="166" fontId="23" fillId="0" borderId="33" xfId="2" applyNumberFormat="1" applyFont="1" applyBorder="1" applyAlignment="1">
      <alignment horizontal="center" vertical="center"/>
    </xf>
    <xf numFmtId="1" fontId="28" fillId="0" borderId="29" xfId="2" applyNumberFormat="1" applyFont="1" applyBorder="1" applyAlignment="1">
      <alignment horizontal="center"/>
    </xf>
    <xf numFmtId="1" fontId="33" fillId="0" borderId="30" xfId="1" applyNumberFormat="1" applyFont="1" applyBorder="1" applyAlignment="1">
      <alignment horizontal="left" vertical="center"/>
    </xf>
    <xf numFmtId="2" fontId="20" fillId="2" borderId="30" xfId="1" applyNumberFormat="1" applyFont="1" applyFill="1" applyBorder="1" applyAlignment="1">
      <alignment horizontal="center"/>
    </xf>
    <xf numFmtId="2" fontId="20" fillId="2" borderId="30" xfId="1" applyNumberFormat="1" applyFont="1" applyFill="1" applyBorder="1" applyAlignment="1">
      <alignment horizontal="right"/>
    </xf>
    <xf numFmtId="0" fontId="9" fillId="0" borderId="18" xfId="1" applyFont="1" applyBorder="1" applyAlignment="1">
      <alignment horizontal="center"/>
    </xf>
    <xf numFmtId="0" fontId="9" fillId="0" borderId="12" xfId="1" applyFont="1" applyBorder="1" applyAlignment="1">
      <alignment horizontal="center"/>
    </xf>
    <xf numFmtId="0" fontId="73" fillId="0" borderId="46" xfId="1" applyFont="1" applyBorder="1" applyAlignment="1">
      <alignment horizontal="center"/>
    </xf>
    <xf numFmtId="0" fontId="73" fillId="0" borderId="14" xfId="1" applyFont="1" applyBorder="1" applyAlignment="1">
      <alignment horizontal="center"/>
    </xf>
    <xf numFmtId="0" fontId="92" fillId="0" borderId="18" xfId="4" applyFont="1" applyBorder="1" applyAlignment="1">
      <alignment horizontal="center"/>
    </xf>
    <xf numFmtId="1" fontId="20" fillId="0" borderId="30" xfId="1" applyNumberFormat="1" applyFont="1" applyBorder="1" applyAlignment="1">
      <alignment horizontal="left" vertical="center"/>
    </xf>
    <xf numFmtId="1" fontId="32" fillId="0" borderId="15" xfId="1" applyNumberFormat="1" applyFont="1" applyBorder="1" applyAlignment="1">
      <alignment horizontal="center" vertical="top"/>
    </xf>
    <xf numFmtId="1" fontId="20" fillId="0" borderId="15" xfId="1" applyNumberFormat="1" applyFont="1" applyBorder="1" applyAlignment="1">
      <alignment horizontal="center" vertical="center"/>
    </xf>
    <xf numFmtId="0" fontId="77" fillId="2" borderId="26" xfId="5" applyFont="1" applyFill="1" applyBorder="1" applyAlignment="1">
      <alignment vertical="center"/>
    </xf>
    <xf numFmtId="0" fontId="20" fillId="6" borderId="0" xfId="1" applyFont="1" applyFill="1"/>
    <xf numFmtId="2" fontId="70" fillId="0" borderId="26" xfId="4" applyNumberFormat="1" applyFont="1" applyBorder="1" applyAlignment="1">
      <alignment horizontal="center"/>
    </xf>
    <xf numFmtId="0" fontId="20" fillId="0" borderId="26" xfId="1" applyFont="1" applyBorder="1" applyAlignment="1">
      <alignment vertical="center" wrapText="1"/>
    </xf>
    <xf numFmtId="0" fontId="19" fillId="0" borderId="26" xfId="1" applyFont="1" applyBorder="1"/>
    <xf numFmtId="0" fontId="96" fillId="2" borderId="0" xfId="0" applyFont="1" applyFill="1" applyAlignment="1">
      <alignment vertical="top"/>
    </xf>
    <xf numFmtId="2" fontId="86" fillId="0" borderId="30" xfId="2" applyNumberFormat="1" applyFont="1" applyBorder="1" applyAlignment="1">
      <alignment vertical="center"/>
    </xf>
    <xf numFmtId="43" fontId="86" fillId="0" borderId="30" xfId="2" applyFont="1" applyBorder="1" applyAlignment="1">
      <alignment vertical="center"/>
    </xf>
    <xf numFmtId="0" fontId="99" fillId="0" borderId="0" xfId="1" applyFont="1" applyAlignment="1">
      <alignment vertical="center"/>
    </xf>
    <xf numFmtId="0" fontId="99" fillId="0" borderId="0" xfId="1" applyFont="1"/>
    <xf numFmtId="0" fontId="14" fillId="0" borderId="25" xfId="1" applyFont="1" applyBorder="1" applyAlignment="1">
      <alignment horizontal="center" vertical="center"/>
    </xf>
    <xf numFmtId="0" fontId="99" fillId="0" borderId="0" xfId="1" applyFont="1" applyAlignment="1">
      <alignment horizontal="center" vertical="center"/>
    </xf>
    <xf numFmtId="0" fontId="0" fillId="0" borderId="30" xfId="0" applyBorder="1"/>
    <xf numFmtId="1" fontId="20" fillId="0" borderId="15" xfId="1" applyNumberFormat="1" applyFont="1" applyBorder="1" applyAlignment="1">
      <alignment horizontal="right" vertical="center"/>
    </xf>
    <xf numFmtId="2" fontId="34" fillId="0" borderId="33" xfId="1" applyNumberFormat="1" applyFont="1" applyBorder="1"/>
    <xf numFmtId="0" fontId="37" fillId="0" borderId="30" xfId="1" applyFont="1" applyBorder="1" applyAlignment="1">
      <alignment horizontal="center"/>
    </xf>
    <xf numFmtId="0" fontId="44" fillId="0" borderId="30" xfId="1" applyFont="1" applyBorder="1"/>
    <xf numFmtId="2" fontId="20" fillId="0" borderId="30" xfId="1" applyNumberFormat="1" applyFont="1" applyBorder="1" applyAlignment="1">
      <alignment horizontal="right"/>
    </xf>
    <xf numFmtId="0" fontId="20" fillId="0" borderId="33" xfId="1" applyFont="1" applyBorder="1"/>
    <xf numFmtId="0" fontId="93" fillId="0" borderId="30" xfId="1" applyFont="1" applyBorder="1" applyAlignment="1">
      <alignment vertical="center" wrapText="1"/>
    </xf>
    <xf numFmtId="2" fontId="20" fillId="2" borderId="32" xfId="1" applyNumberFormat="1" applyFont="1" applyFill="1" applyBorder="1" applyAlignment="1">
      <alignment horizontal="right"/>
    </xf>
    <xf numFmtId="2" fontId="37" fillId="0" borderId="30" xfId="1" applyNumberFormat="1" applyFont="1" applyBorder="1" applyAlignment="1">
      <alignment horizontal="center" wrapText="1"/>
    </xf>
    <xf numFmtId="2" fontId="17" fillId="0" borderId="30" xfId="1" applyNumberFormat="1" applyFont="1" applyBorder="1" applyAlignment="1">
      <alignment horizontal="center"/>
    </xf>
    <xf numFmtId="2" fontId="17" fillId="0" borderId="30" xfId="1" applyNumberFormat="1" applyFont="1" applyBorder="1" applyAlignment="1">
      <alignment horizontal="right"/>
    </xf>
    <xf numFmtId="0" fontId="83" fillId="0" borderId="30" xfId="1" applyFont="1" applyBorder="1" applyAlignment="1">
      <alignment vertical="center" wrapText="1"/>
    </xf>
    <xf numFmtId="0" fontId="20" fillId="0" borderId="31" xfId="1" applyFont="1" applyBorder="1"/>
    <xf numFmtId="0" fontId="113" fillId="0" borderId="30" xfId="1" applyFont="1" applyBorder="1" applyAlignment="1">
      <alignment horizontal="justify" vertical="top" wrapText="1"/>
    </xf>
    <xf numFmtId="0" fontId="98" fillId="2" borderId="30" xfId="0" applyFont="1" applyFill="1" applyBorder="1" applyAlignment="1">
      <alignment horizontal="left" vertical="center" wrapText="1"/>
    </xf>
    <xf numFmtId="0" fontId="83" fillId="0" borderId="30" xfId="1" applyFont="1" applyBorder="1" applyAlignment="1">
      <alignment horizontal="center"/>
    </xf>
    <xf numFmtId="0" fontId="113" fillId="0" borderId="30" xfId="1" applyFont="1" applyBorder="1"/>
    <xf numFmtId="2" fontId="111" fillId="2" borderId="13" xfId="1" applyNumberFormat="1" applyFont="1" applyFill="1" applyBorder="1"/>
    <xf numFmtId="2" fontId="111" fillId="2" borderId="30" xfId="1" applyNumberFormat="1" applyFont="1" applyFill="1" applyBorder="1"/>
    <xf numFmtId="0" fontId="11" fillId="2" borderId="0" xfId="1" applyFont="1" applyFill="1" applyAlignment="1">
      <alignment horizontal="center" vertical="center" wrapText="1"/>
    </xf>
    <xf numFmtId="2" fontId="8" fillId="0" borderId="0" xfId="1" applyNumberFormat="1" applyFont="1"/>
    <xf numFmtId="0" fontId="77" fillId="0" borderId="30" xfId="0" applyFont="1" applyBorder="1" applyAlignment="1">
      <alignment vertical="center" wrapText="1"/>
    </xf>
    <xf numFmtId="0" fontId="33" fillId="3" borderId="20" xfId="1" applyFont="1" applyFill="1" applyBorder="1" applyAlignment="1">
      <alignment vertical="center"/>
    </xf>
    <xf numFmtId="2" fontId="33" fillId="3" borderId="47" xfId="1" applyNumberFormat="1" applyFont="1" applyFill="1" applyBorder="1" applyAlignment="1">
      <alignment horizontal="center" vertical="center" wrapText="1"/>
    </xf>
    <xf numFmtId="2" fontId="20" fillId="0" borderId="16" xfId="1" applyNumberFormat="1" applyFont="1" applyBorder="1"/>
    <xf numFmtId="2" fontId="19" fillId="6" borderId="0" xfId="1" applyNumberFormat="1" applyFont="1" applyFill="1"/>
    <xf numFmtId="0" fontId="92" fillId="0" borderId="12" xfId="4" applyFont="1" applyBorder="1" applyAlignment="1">
      <alignment horizontal="center"/>
    </xf>
    <xf numFmtId="0" fontId="72" fillId="0" borderId="28" xfId="4" applyFont="1" applyBorder="1" applyAlignment="1">
      <alignment horizontal="center"/>
    </xf>
    <xf numFmtId="0" fontId="41" fillId="0" borderId="28" xfId="4" applyFont="1" applyBorder="1" applyAlignment="1">
      <alignment horizontal="center"/>
    </xf>
    <xf numFmtId="2" fontId="72" fillId="0" borderId="28" xfId="4" applyNumberFormat="1" applyFont="1" applyBorder="1" applyAlignment="1">
      <alignment horizontal="center"/>
    </xf>
    <xf numFmtId="2" fontId="72" fillId="0" borderId="28" xfId="4" applyNumberFormat="1" applyFont="1" applyBorder="1"/>
    <xf numFmtId="2" fontId="37" fillId="0" borderId="30" xfId="1" applyNumberFormat="1" applyFont="1" applyBorder="1" applyAlignment="1">
      <alignment horizontal="left"/>
    </xf>
    <xf numFmtId="0" fontId="107" fillId="0" borderId="30" xfId="9" applyFont="1" applyBorder="1" applyAlignment="1">
      <alignment horizontal="center" vertical="center"/>
    </xf>
    <xf numFmtId="1" fontId="108" fillId="0" borderId="30" xfId="9" applyNumberFormat="1" applyFont="1" applyBorder="1" applyAlignment="1">
      <alignment horizontal="center" vertical="center"/>
    </xf>
    <xf numFmtId="0" fontId="20" fillId="0" borderId="37" xfId="1" applyFont="1" applyBorder="1"/>
    <xf numFmtId="0" fontId="20" fillId="0" borderId="49" xfId="1" applyFont="1" applyBorder="1"/>
    <xf numFmtId="43" fontId="18" fillId="0" borderId="30" xfId="10" applyFont="1" applyFill="1" applyBorder="1" applyAlignment="1">
      <alignment horizontal="center" vertical="center"/>
    </xf>
    <xf numFmtId="1" fontId="108" fillId="0" borderId="30" xfId="9" quotePrefix="1" applyNumberFormat="1" applyFont="1" applyBorder="1" applyAlignment="1">
      <alignment horizontal="center" vertical="center"/>
    </xf>
    <xf numFmtId="1" fontId="19" fillId="0" borderId="30" xfId="9" applyNumberFormat="1" applyFont="1" applyBorder="1" applyAlignment="1">
      <alignment horizontal="center" vertical="center"/>
    </xf>
    <xf numFmtId="0" fontId="19" fillId="0" borderId="30" xfId="9" applyFont="1" applyBorder="1" applyAlignment="1">
      <alignment horizontal="center" vertical="center"/>
    </xf>
    <xf numFmtId="2" fontId="34" fillId="2" borderId="33" xfId="1" applyNumberFormat="1" applyFont="1" applyFill="1" applyBorder="1"/>
    <xf numFmtId="2" fontId="126" fillId="0" borderId="30" xfId="2" applyNumberFormat="1" applyFont="1" applyBorder="1" applyAlignment="1">
      <alignment vertical="center"/>
    </xf>
    <xf numFmtId="43" fontId="126" fillId="0" borderId="30" xfId="2" applyFont="1" applyBorder="1" applyAlignment="1">
      <alignment vertical="center"/>
    </xf>
    <xf numFmtId="0" fontId="127" fillId="0" borderId="30" xfId="1" applyFont="1" applyBorder="1" applyAlignment="1">
      <alignment horizontal="left" vertical="center" wrapText="1" indent="6"/>
    </xf>
    <xf numFmtId="43" fontId="126" fillId="0" borderId="30" xfId="2" applyFont="1" applyBorder="1" applyAlignment="1">
      <alignment horizontal="right" vertical="center"/>
    </xf>
    <xf numFmtId="0" fontId="132" fillId="0" borderId="30" xfId="1" applyFont="1" applyBorder="1" applyAlignment="1">
      <alignment vertical="center" wrapText="1"/>
    </xf>
    <xf numFmtId="1" fontId="127" fillId="0" borderId="30" xfId="1" applyNumberFormat="1" applyFont="1" applyBorder="1" applyAlignment="1">
      <alignment horizontal="left" wrapText="1"/>
    </xf>
    <xf numFmtId="0" fontId="127" fillId="0" borderId="30" xfId="1" applyFont="1" applyBorder="1" applyAlignment="1">
      <alignment horizontal="center" vertical="center"/>
    </xf>
    <xf numFmtId="1" fontId="132" fillId="0" borderId="30" xfId="1" applyNumberFormat="1" applyFont="1" applyBorder="1" applyAlignment="1">
      <alignment horizontal="left" wrapText="1"/>
    </xf>
    <xf numFmtId="0" fontId="124" fillId="0" borderId="30" xfId="1" applyFont="1" applyBorder="1" applyAlignment="1">
      <alignment horizontal="center"/>
    </xf>
    <xf numFmtId="2" fontId="127" fillId="0" borderId="30" xfId="1" applyNumberFormat="1" applyFont="1" applyBorder="1" applyAlignment="1">
      <alignment horizontal="left"/>
    </xf>
    <xf numFmtId="0" fontId="40" fillId="0" borderId="30" xfId="1" applyFont="1" applyBorder="1" applyAlignment="1">
      <alignment vertical="center" wrapText="1"/>
    </xf>
    <xf numFmtId="0" fontId="127" fillId="0" borderId="30" xfId="1" applyFont="1" applyBorder="1" applyAlignment="1">
      <alignment horizontal="left" vertical="center"/>
    </xf>
    <xf numFmtId="0" fontId="33" fillId="0" borderId="0" xfId="1" applyFont="1"/>
    <xf numFmtId="0" fontId="33" fillId="2" borderId="0" xfId="1" applyFont="1" applyFill="1"/>
    <xf numFmtId="0" fontId="37" fillId="0" borderId="30" xfId="1" quotePrefix="1" applyFont="1" applyBorder="1" applyAlignment="1">
      <alignment horizontal="left" vertical="center" wrapText="1"/>
    </xf>
    <xf numFmtId="0" fontId="130" fillId="0" borderId="13" xfId="1" applyFont="1" applyBorder="1" applyAlignment="1">
      <alignment vertical="center"/>
    </xf>
    <xf numFmtId="0" fontId="130" fillId="0" borderId="16" xfId="1" applyFont="1" applyBorder="1" applyAlignment="1">
      <alignment vertical="center"/>
    </xf>
    <xf numFmtId="0" fontId="130" fillId="0" borderId="34" xfId="1" applyFont="1" applyBorder="1" applyAlignment="1">
      <alignment vertical="center"/>
    </xf>
    <xf numFmtId="0" fontId="130" fillId="0" borderId="17" xfId="1" applyFont="1" applyBorder="1" applyAlignment="1">
      <alignment horizontal="left" vertical="center" wrapText="1"/>
    </xf>
    <xf numFmtId="0" fontId="130" fillId="0" borderId="12" xfId="1" applyFont="1" applyBorder="1" applyAlignment="1">
      <alignment horizontal="center" vertical="center"/>
    </xf>
    <xf numFmtId="0" fontId="130" fillId="0" borderId="15" xfId="1" applyFont="1" applyBorder="1" applyAlignment="1">
      <alignment horizontal="center" vertical="center"/>
    </xf>
    <xf numFmtId="0" fontId="130" fillId="0" borderId="15" xfId="1" applyFont="1" applyBorder="1" applyAlignment="1">
      <alignment horizontal="right" vertical="center"/>
    </xf>
    <xf numFmtId="2" fontId="125" fillId="0" borderId="30" xfId="1" applyNumberFormat="1" applyFont="1" applyBorder="1" applyAlignment="1">
      <alignment horizontal="left" vertical="center" wrapText="1"/>
    </xf>
    <xf numFmtId="2" fontId="124" fillId="0" borderId="30" xfId="1" applyNumberFormat="1" applyFont="1" applyBorder="1" applyAlignment="1">
      <alignment horizontal="left"/>
    </xf>
    <xf numFmtId="0" fontId="130" fillId="0" borderId="0" xfId="1" applyFont="1" applyAlignment="1">
      <alignment horizontal="left" vertical="center" wrapText="1"/>
    </xf>
    <xf numFmtId="0" fontId="13" fillId="2" borderId="0" xfId="1" applyFont="1" applyFill="1" applyAlignment="1">
      <alignment horizontal="center" vertical="center" wrapText="1"/>
    </xf>
    <xf numFmtId="0" fontId="3" fillId="0" borderId="30" xfId="1" applyBorder="1" applyAlignment="1">
      <alignment vertical="center"/>
    </xf>
    <xf numFmtId="0" fontId="127" fillId="0" borderId="0" xfId="1" applyFont="1"/>
    <xf numFmtId="0" fontId="127" fillId="0" borderId="0" xfId="1" applyFont="1" applyAlignment="1">
      <alignment horizontal="center"/>
    </xf>
    <xf numFmtId="0" fontId="140" fillId="0" borderId="30" xfId="1" applyFont="1" applyBorder="1"/>
    <xf numFmtId="0" fontId="127" fillId="0" borderId="30" xfId="1" applyFont="1" applyBorder="1"/>
    <xf numFmtId="0" fontId="128" fillId="0" borderId="30" xfId="1" applyFont="1" applyBorder="1" applyAlignment="1">
      <alignment horizontal="center"/>
    </xf>
    <xf numFmtId="168" fontId="140" fillId="0" borderId="30" xfId="1" applyNumberFormat="1" applyFont="1" applyBorder="1" applyAlignment="1">
      <alignment horizontal="center"/>
    </xf>
    <xf numFmtId="168" fontId="140" fillId="0" borderId="30" xfId="1" applyNumberFormat="1" applyFont="1" applyBorder="1" applyAlignment="1">
      <alignment horizontal="center" vertical="center"/>
    </xf>
    <xf numFmtId="1" fontId="18" fillId="0" borderId="0" xfId="1" applyNumberFormat="1" applyFont="1" applyAlignment="1">
      <alignment horizontal="center"/>
    </xf>
    <xf numFmtId="1" fontId="18" fillId="0" borderId="0" xfId="1" applyNumberFormat="1" applyFont="1" applyAlignment="1">
      <alignment horizontal="center" vertical="center"/>
    </xf>
    <xf numFmtId="10" fontId="18" fillId="0" borderId="0" xfId="11" applyNumberFormat="1" applyFont="1" applyBorder="1" applyAlignment="1">
      <alignment horizontal="center"/>
    </xf>
    <xf numFmtId="2" fontId="4" fillId="0" borderId="0" xfId="1" applyNumberFormat="1" applyFont="1" applyAlignment="1">
      <alignment horizontal="left" vertical="center" wrapText="1"/>
    </xf>
    <xf numFmtId="2" fontId="124" fillId="0" borderId="30" xfId="1" applyNumberFormat="1" applyFont="1" applyBorder="1" applyAlignment="1">
      <alignment horizontal="center" vertical="center"/>
    </xf>
    <xf numFmtId="1" fontId="18" fillId="2" borderId="0" xfId="1" applyNumberFormat="1" applyFont="1" applyFill="1" applyAlignment="1">
      <alignment horizontal="center" vertical="center"/>
    </xf>
    <xf numFmtId="2" fontId="14" fillId="2" borderId="0" xfId="1" applyNumberFormat="1" applyFont="1" applyFill="1" applyAlignment="1">
      <alignment horizontal="center" vertical="center" textRotation="90" wrapText="1"/>
    </xf>
    <xf numFmtId="1" fontId="18" fillId="2" borderId="0" xfId="1" applyNumberFormat="1" applyFont="1" applyFill="1" applyAlignment="1">
      <alignment horizontal="center"/>
    </xf>
    <xf numFmtId="2" fontId="124" fillId="0" borderId="30" xfId="1" applyNumberFormat="1" applyFont="1" applyBorder="1" applyAlignment="1">
      <alignment horizontal="center" vertical="center" wrapText="1"/>
    </xf>
    <xf numFmtId="0" fontId="66" fillId="0" borderId="30" xfId="4" applyFont="1" applyBorder="1" applyAlignment="1">
      <alignment horizontal="center"/>
    </xf>
    <xf numFmtId="0" fontId="127" fillId="0" borderId="0" xfId="1" applyFont="1" applyAlignment="1">
      <alignment vertical="center" wrapText="1"/>
    </xf>
    <xf numFmtId="0" fontId="124" fillId="0" borderId="0" xfId="1" applyFont="1"/>
    <xf numFmtId="0" fontId="127" fillId="0" borderId="30" xfId="1" applyFont="1" applyBorder="1" applyAlignment="1">
      <alignment horizontal="center"/>
    </xf>
    <xf numFmtId="0" fontId="127" fillId="0" borderId="30" xfId="1" applyFont="1" applyBorder="1" applyAlignment="1">
      <alignment vertical="center" wrapText="1"/>
    </xf>
    <xf numFmtId="0" fontId="124" fillId="0" borderId="30" xfId="1" applyFont="1" applyBorder="1"/>
    <xf numFmtId="2" fontId="20" fillId="2" borderId="30" xfId="1" applyNumberFormat="1" applyFont="1" applyFill="1" applyBorder="1" applyAlignment="1">
      <alignment vertical="center"/>
    </xf>
    <xf numFmtId="0" fontId="16" fillId="0" borderId="30" xfId="1" applyFont="1" applyBorder="1" applyAlignment="1">
      <alignment horizontal="center" vertical="center" wrapText="1"/>
    </xf>
    <xf numFmtId="0" fontId="124" fillId="0" borderId="30" xfId="1" applyFont="1" applyBorder="1" applyAlignment="1">
      <alignment horizontal="center" vertical="center"/>
    </xf>
    <xf numFmtId="2" fontId="124" fillId="0" borderId="30" xfId="1" applyNumberFormat="1" applyFont="1" applyBorder="1" applyAlignment="1">
      <alignment vertical="center" wrapText="1"/>
    </xf>
    <xf numFmtId="9" fontId="28" fillId="0" borderId="30" xfId="2" applyNumberFormat="1" applyFont="1" applyFill="1" applyBorder="1" applyAlignment="1">
      <alignment horizontal="center"/>
    </xf>
    <xf numFmtId="2" fontId="97" fillId="0" borderId="30" xfId="1" applyNumberFormat="1" applyFont="1" applyBorder="1"/>
    <xf numFmtId="2" fontId="14" fillId="0" borderId="30" xfId="1" applyNumberFormat="1" applyFont="1" applyBorder="1" applyAlignment="1">
      <alignment horizontal="left"/>
    </xf>
    <xf numFmtId="43" fontId="98" fillId="0" borderId="30" xfId="8" applyFont="1" applyBorder="1" applyAlignment="1">
      <alignment vertical="center" wrapText="1"/>
    </xf>
    <xf numFmtId="0" fontId="98" fillId="0" borderId="30" xfId="0" applyFont="1" applyBorder="1" applyAlignment="1">
      <alignment horizontal="center" vertical="center" wrapText="1"/>
    </xf>
    <xf numFmtId="0" fontId="142" fillId="0" borderId="30" xfId="0" applyFont="1" applyBorder="1" applyAlignment="1">
      <alignment horizontal="center" vertical="center"/>
    </xf>
    <xf numFmtId="0" fontId="98" fillId="0" borderId="30" xfId="0" applyFont="1" applyBorder="1"/>
    <xf numFmtId="0" fontId="98" fillId="0" borderId="30" xfId="0" applyFont="1" applyBorder="1" applyAlignment="1">
      <alignment horizontal="center" vertical="center"/>
    </xf>
    <xf numFmtId="1" fontId="98" fillId="0" borderId="30" xfId="0" applyNumberFormat="1" applyFont="1" applyBorder="1" applyAlignment="1">
      <alignment horizontal="center" vertical="center" wrapText="1"/>
    </xf>
    <xf numFmtId="164" fontId="98" fillId="0" borderId="30" xfId="8" applyNumberFormat="1" applyFont="1" applyBorder="1" applyAlignment="1">
      <alignment vertical="center" wrapText="1"/>
    </xf>
    <xf numFmtId="2" fontId="33" fillId="2" borderId="30" xfId="1" applyNumberFormat="1" applyFont="1" applyFill="1" applyBorder="1" applyAlignment="1">
      <alignment vertical="center"/>
    </xf>
    <xf numFmtId="0" fontId="48" fillId="0" borderId="30" xfId="4" applyFont="1" applyBorder="1" applyAlignment="1">
      <alignment horizontal="right" vertical="center" wrapText="1"/>
    </xf>
    <xf numFmtId="0" fontId="48" fillId="0" borderId="30" xfId="4" applyFont="1" applyBorder="1" applyAlignment="1">
      <alignment horizontal="center" vertical="center" wrapText="1"/>
    </xf>
    <xf numFmtId="0" fontId="48" fillId="0" borderId="30" xfId="4" applyFont="1" applyBorder="1" applyAlignment="1">
      <alignment horizontal="center"/>
    </xf>
    <xf numFmtId="0" fontId="66" fillId="2" borderId="30" xfId="4" applyFont="1" applyFill="1" applyBorder="1" applyAlignment="1">
      <alignment horizontal="center"/>
    </xf>
    <xf numFmtId="2" fontId="22" fillId="0" borderId="30" xfId="4" applyNumberFormat="1" applyFont="1" applyBorder="1"/>
    <xf numFmtId="2" fontId="22" fillId="2" borderId="30" xfId="4" applyNumberFormat="1" applyFont="1" applyFill="1" applyBorder="1"/>
    <xf numFmtId="0" fontId="40" fillId="0" borderId="0" xfId="1" applyFont="1"/>
    <xf numFmtId="0" fontId="73" fillId="4" borderId="30" xfId="1" applyFont="1" applyFill="1" applyBorder="1" applyAlignment="1">
      <alignment horizontal="center" vertical="center"/>
    </xf>
    <xf numFmtId="2" fontId="48" fillId="4" borderId="30" xfId="1" applyNumberFormat="1" applyFont="1" applyFill="1" applyBorder="1" applyAlignment="1">
      <alignment horizontal="center" vertical="center"/>
    </xf>
    <xf numFmtId="2" fontId="48" fillId="0" borderId="30" xfId="1" applyNumberFormat="1" applyFont="1" applyBorder="1" applyAlignment="1">
      <alignment horizontal="center" vertical="center"/>
    </xf>
    <xf numFmtId="0" fontId="48" fillId="0" borderId="28" xfId="7" applyFont="1" applyBorder="1" applyAlignment="1">
      <alignment horizontal="left" vertical="center"/>
    </xf>
    <xf numFmtId="0" fontId="48" fillId="0" borderId="28" xfId="7" applyFont="1" applyBorder="1" applyAlignment="1">
      <alignment horizontal="center" vertical="center"/>
    </xf>
    <xf numFmtId="0" fontId="48" fillId="0" borderId="30" xfId="7" applyFont="1" applyBorder="1" applyAlignment="1">
      <alignment horizontal="left" vertical="center"/>
    </xf>
    <xf numFmtId="0" fontId="48" fillId="0" borderId="30" xfId="7" applyFont="1" applyBorder="1" applyAlignment="1">
      <alignment horizontal="center" vertical="center"/>
    </xf>
    <xf numFmtId="0" fontId="48" fillId="0" borderId="26" xfId="7" applyFont="1" applyBorder="1" applyAlignment="1">
      <alignment horizontal="left" vertical="center"/>
    </xf>
    <xf numFmtId="9" fontId="28" fillId="0" borderId="30" xfId="2" applyNumberFormat="1" applyFont="1" applyBorder="1" applyAlignment="1">
      <alignment horizontal="center"/>
    </xf>
    <xf numFmtId="0" fontId="37" fillId="0" borderId="30" xfId="1" applyFont="1" applyBorder="1" applyAlignment="1">
      <alignment horizontal="center" vertical="center" wrapText="1"/>
    </xf>
    <xf numFmtId="0" fontId="40" fillId="0" borderId="30" xfId="1" applyFont="1" applyBorder="1" applyAlignment="1">
      <alignment horizontal="center" vertical="center" wrapText="1"/>
    </xf>
    <xf numFmtId="0" fontId="48" fillId="0" borderId="30" xfId="1" applyFont="1" applyBorder="1" applyAlignment="1">
      <alignment horizontal="center" vertical="center" wrapText="1"/>
    </xf>
    <xf numFmtId="0" fontId="48" fillId="0" borderId="30" xfId="1" applyFont="1" applyBorder="1" applyAlignment="1">
      <alignment vertical="center" wrapText="1"/>
    </xf>
    <xf numFmtId="0" fontId="21" fillId="0" borderId="0" xfId="12" applyFont="1" applyAlignment="1">
      <alignment vertical="center"/>
    </xf>
    <xf numFmtId="0" fontId="0" fillId="0" borderId="0" xfId="0" applyAlignment="1">
      <alignment horizontal="center"/>
    </xf>
    <xf numFmtId="0" fontId="3" fillId="0" borderId="0" xfId="0" applyFont="1" applyAlignment="1">
      <alignment horizontal="center"/>
    </xf>
    <xf numFmtId="0" fontId="48" fillId="0" borderId="30" xfId="1" applyFont="1" applyBorder="1"/>
    <xf numFmtId="0" fontId="34" fillId="10" borderId="30" xfId="1" applyFont="1" applyFill="1" applyBorder="1" applyAlignment="1">
      <alignment horizontal="center" vertical="center" wrapText="1"/>
    </xf>
    <xf numFmtId="0" fontId="25" fillId="10" borderId="30" xfId="1" applyFont="1" applyFill="1" applyBorder="1" applyAlignment="1">
      <alignment horizontal="center" vertical="center" wrapText="1"/>
    </xf>
    <xf numFmtId="2" fontId="16" fillId="10" borderId="30" xfId="1" applyNumberFormat="1" applyFont="1" applyFill="1" applyBorder="1" applyAlignment="1">
      <alignment horizontal="center" vertical="center" wrapText="1"/>
    </xf>
    <xf numFmtId="2" fontId="4" fillId="0" borderId="30" xfId="1" applyNumberFormat="1" applyFont="1" applyBorder="1"/>
    <xf numFmtId="2" fontId="4" fillId="2" borderId="30" xfId="1" applyNumberFormat="1" applyFont="1" applyFill="1" applyBorder="1"/>
    <xf numFmtId="2" fontId="147" fillId="0" borderId="30" xfId="1" applyNumberFormat="1" applyFont="1" applyBorder="1"/>
    <xf numFmtId="0" fontId="4" fillId="0" borderId="30" xfId="1" applyFont="1" applyBorder="1" applyAlignment="1">
      <alignment horizontal="center"/>
    </xf>
    <xf numFmtId="0" fontId="4" fillId="0" borderId="30" xfId="1" applyFont="1" applyBorder="1"/>
    <xf numFmtId="0" fontId="117" fillId="0" borderId="30" xfId="1" applyFont="1" applyBorder="1"/>
    <xf numFmtId="0" fontId="33" fillId="10" borderId="0" xfId="1" applyFont="1" applyFill="1"/>
    <xf numFmtId="0" fontId="33" fillId="9" borderId="30" xfId="1" applyFont="1" applyFill="1" applyBorder="1" applyAlignment="1">
      <alignment horizontal="center"/>
    </xf>
    <xf numFmtId="0" fontId="33" fillId="9" borderId="30" xfId="1" applyFont="1" applyFill="1" applyBorder="1"/>
    <xf numFmtId="0" fontId="20" fillId="9" borderId="30" xfId="1" applyFont="1" applyFill="1" applyBorder="1" applyAlignment="1">
      <alignment horizontal="center"/>
    </xf>
    <xf numFmtId="0" fontId="19" fillId="9" borderId="30" xfId="1" applyFont="1" applyFill="1" applyBorder="1"/>
    <xf numFmtId="0" fontId="20" fillId="9" borderId="30" xfId="1" applyFont="1" applyFill="1" applyBorder="1"/>
    <xf numFmtId="0" fontId="20" fillId="0" borderId="0" xfId="1" applyFont="1" applyAlignment="1">
      <alignment vertical="center"/>
    </xf>
    <xf numFmtId="0" fontId="19" fillId="0" borderId="30" xfId="1" applyFont="1" applyBorder="1" applyAlignment="1">
      <alignment horizontal="center" vertical="center"/>
    </xf>
    <xf numFmtId="43" fontId="85" fillId="0" borderId="30" xfId="2" applyFont="1" applyBorder="1" applyAlignment="1">
      <alignment horizontal="right" vertical="center"/>
    </xf>
    <xf numFmtId="43" fontId="85" fillId="0" borderId="30" xfId="2" applyFont="1" applyBorder="1" applyAlignment="1">
      <alignment vertical="center"/>
    </xf>
    <xf numFmtId="164" fontId="85" fillId="0" borderId="30" xfId="2" applyNumberFormat="1" applyFont="1" applyBorder="1" applyAlignment="1">
      <alignment horizontal="right" vertical="center"/>
    </xf>
    <xf numFmtId="43" fontId="85" fillId="5" borderId="30" xfId="2" applyFont="1" applyFill="1" applyBorder="1" applyAlignment="1">
      <alignment horizontal="right" vertical="center"/>
    </xf>
    <xf numFmtId="0" fontId="33" fillId="0" borderId="30" xfId="1" applyFont="1" applyBorder="1" applyAlignment="1">
      <alignment horizontal="center" vertical="center"/>
    </xf>
    <xf numFmtId="0" fontId="127" fillId="0" borderId="30" xfId="1" applyFont="1" applyBorder="1" applyAlignment="1">
      <alignment horizontal="center" vertical="center" wrapText="1"/>
    </xf>
    <xf numFmtId="43" fontId="127" fillId="0" borderId="30" xfId="2" applyFont="1" applyBorder="1" applyAlignment="1">
      <alignment vertical="center"/>
    </xf>
    <xf numFmtId="1" fontId="20" fillId="0" borderId="30" xfId="1" applyNumberFormat="1" applyFont="1" applyBorder="1" applyAlignment="1">
      <alignment horizontal="center" vertical="center"/>
    </xf>
    <xf numFmtId="1" fontId="83" fillId="0" borderId="30" xfId="1" applyNumberFormat="1" applyFont="1" applyBorder="1" applyAlignment="1">
      <alignment horizontal="left" wrapText="1"/>
    </xf>
    <xf numFmtId="2" fontId="125" fillId="0" borderId="30" xfId="1" applyNumberFormat="1" applyFont="1" applyBorder="1" applyAlignment="1">
      <alignment horizontal="left" wrapText="1"/>
    </xf>
    <xf numFmtId="1" fontId="4" fillId="2" borderId="30" xfId="1" applyNumberFormat="1" applyFont="1" applyFill="1" applyBorder="1" applyAlignment="1">
      <alignment horizontal="right" vertical="center"/>
    </xf>
    <xf numFmtId="1" fontId="4" fillId="2" borderId="30" xfId="1" applyNumberFormat="1" applyFont="1" applyFill="1" applyBorder="1" applyAlignment="1">
      <alignment horizontal="right"/>
    </xf>
    <xf numFmtId="2" fontId="4" fillId="0" borderId="30" xfId="1" applyNumberFormat="1" applyFont="1" applyBorder="1" applyAlignment="1">
      <alignment horizontal="right" vertical="center"/>
    </xf>
    <xf numFmtId="2" fontId="112" fillId="0" borderId="30" xfId="1" applyNumberFormat="1" applyFont="1" applyBorder="1" applyAlignment="1">
      <alignment horizontal="right" vertical="center"/>
    </xf>
    <xf numFmtId="2" fontId="4" fillId="0" borderId="30" xfId="1" applyNumberFormat="1" applyFont="1" applyBorder="1" applyAlignment="1">
      <alignment horizontal="right"/>
    </xf>
    <xf numFmtId="2" fontId="112" fillId="0" borderId="30" xfId="1" applyNumberFormat="1" applyFont="1" applyBorder="1" applyAlignment="1">
      <alignment horizontal="right"/>
    </xf>
    <xf numFmtId="2" fontId="124" fillId="0" borderId="30" xfId="1" applyNumberFormat="1" applyFont="1" applyBorder="1" applyAlignment="1">
      <alignment horizontal="center" wrapText="1"/>
    </xf>
    <xf numFmtId="2" fontId="19" fillId="0" borderId="30" xfId="1" applyNumberFormat="1" applyFont="1" applyBorder="1" applyAlignment="1">
      <alignment horizontal="center" wrapText="1"/>
    </xf>
    <xf numFmtId="2" fontId="19" fillId="0" borderId="30" xfId="1" applyNumberFormat="1" applyFont="1" applyBorder="1" applyAlignment="1">
      <alignment horizontal="center" vertical="center" wrapText="1"/>
    </xf>
    <xf numFmtId="0" fontId="20" fillId="0" borderId="30" xfId="1" applyFont="1" applyBorder="1" applyAlignment="1">
      <alignment vertical="center"/>
    </xf>
    <xf numFmtId="0" fontId="48" fillId="0" borderId="30" xfId="1" applyFont="1" applyBorder="1" applyAlignment="1">
      <alignment horizontal="left" vertical="center" wrapText="1" indent="6"/>
    </xf>
    <xf numFmtId="2" fontId="85" fillId="0" borderId="30" xfId="2" applyNumberFormat="1" applyFont="1" applyBorder="1" applyAlignment="1">
      <alignment vertical="center"/>
    </xf>
    <xf numFmtId="1" fontId="124" fillId="0" borderId="30" xfId="1" applyNumberFormat="1" applyFont="1" applyBorder="1" applyAlignment="1">
      <alignment horizontal="left"/>
    </xf>
    <xf numFmtId="2" fontId="47" fillId="2" borderId="30" xfId="1" applyNumberFormat="1" applyFont="1" applyFill="1" applyBorder="1" applyAlignment="1">
      <alignment vertical="center"/>
    </xf>
    <xf numFmtId="1" fontId="42" fillId="0" borderId="30" xfId="6" applyNumberFormat="1" applyFont="1" applyFill="1" applyBorder="1" applyAlignment="1" applyProtection="1">
      <alignment horizontal="left"/>
    </xf>
    <xf numFmtId="0" fontId="42" fillId="0" borderId="30" xfId="1" applyFont="1" applyBorder="1" applyAlignment="1">
      <alignment vertical="center" wrapText="1"/>
    </xf>
    <xf numFmtId="2" fontId="42" fillId="0" borderId="30" xfId="1" applyNumberFormat="1" applyFont="1" applyBorder="1"/>
    <xf numFmtId="0" fontId="118" fillId="2" borderId="30" xfId="1" applyFont="1" applyFill="1" applyBorder="1" applyAlignment="1">
      <alignment vertical="center" wrapText="1"/>
    </xf>
    <xf numFmtId="2" fontId="118" fillId="2" borderId="30" xfId="1" applyNumberFormat="1" applyFont="1" applyFill="1" applyBorder="1"/>
    <xf numFmtId="0" fontId="119" fillId="2" borderId="30" xfId="1" applyFont="1" applyFill="1" applyBorder="1" applyAlignment="1">
      <alignment vertical="center" wrapText="1"/>
    </xf>
    <xf numFmtId="2" fontId="119" fillId="2" borderId="30" xfId="1" applyNumberFormat="1" applyFont="1" applyFill="1" applyBorder="1"/>
    <xf numFmtId="2" fontId="52" fillId="2" borderId="30" xfId="1" applyNumberFormat="1" applyFont="1" applyFill="1" applyBorder="1"/>
    <xf numFmtId="0" fontId="33" fillId="10" borderId="30" xfId="1" applyFont="1" applyFill="1" applyBorder="1" applyAlignment="1">
      <alignment horizontal="center" vertical="center"/>
    </xf>
    <xf numFmtId="1" fontId="83" fillId="2" borderId="30" xfId="1" applyNumberFormat="1" applyFont="1" applyFill="1" applyBorder="1" applyAlignment="1">
      <alignment horizontal="center" vertical="center"/>
    </xf>
    <xf numFmtId="1" fontId="33" fillId="9" borderId="30" xfId="1" applyNumberFormat="1" applyFont="1" applyFill="1" applyBorder="1" applyAlignment="1">
      <alignment horizontal="left"/>
    </xf>
    <xf numFmtId="0" fontId="45" fillId="9" borderId="30" xfId="1" applyFont="1" applyFill="1" applyBorder="1" applyAlignment="1">
      <alignment vertical="center" wrapText="1"/>
    </xf>
    <xf numFmtId="0" fontId="124" fillId="9" borderId="30" xfId="1" applyFont="1" applyFill="1" applyBorder="1" applyAlignment="1">
      <alignment horizontal="center"/>
    </xf>
    <xf numFmtId="0" fontId="4" fillId="9" borderId="30" xfId="1" applyFont="1" applyFill="1" applyBorder="1" applyAlignment="1">
      <alignment vertical="center" wrapText="1"/>
    </xf>
    <xf numFmtId="2" fontId="19" fillId="9" borderId="30" xfId="1" applyNumberFormat="1" applyFont="1" applyFill="1" applyBorder="1"/>
    <xf numFmtId="0" fontId="45" fillId="9" borderId="30" xfId="1" applyFont="1" applyFill="1" applyBorder="1" applyAlignment="1">
      <alignment horizontal="justify" vertical="center" wrapText="1"/>
    </xf>
    <xf numFmtId="0" fontId="43" fillId="9" borderId="30" xfId="1" applyFont="1" applyFill="1" applyBorder="1" applyAlignment="1">
      <alignment vertical="center" wrapText="1"/>
    </xf>
    <xf numFmtId="0" fontId="14" fillId="9" borderId="30" xfId="1" applyFont="1" applyFill="1" applyBorder="1" applyAlignment="1">
      <alignment vertical="center" wrapText="1"/>
    </xf>
    <xf numFmtId="2" fontId="16" fillId="9" borderId="30" xfId="1" applyNumberFormat="1" applyFont="1" applyFill="1" applyBorder="1"/>
    <xf numFmtId="2" fontId="35" fillId="9" borderId="30" xfId="1" applyNumberFormat="1" applyFont="1" applyFill="1" applyBorder="1"/>
    <xf numFmtId="1" fontId="132" fillId="9" borderId="30" xfId="1" applyNumberFormat="1" applyFont="1" applyFill="1" applyBorder="1" applyAlignment="1">
      <alignment horizontal="left"/>
    </xf>
    <xf numFmtId="2" fontId="132" fillId="9" borderId="30" xfId="1" applyNumberFormat="1" applyFont="1" applyFill="1" applyBorder="1" applyAlignment="1">
      <alignment horizontal="left"/>
    </xf>
    <xf numFmtId="0" fontId="132" fillId="9" borderId="30" xfId="1" applyFont="1" applyFill="1" applyBorder="1" applyAlignment="1">
      <alignment horizontal="center"/>
    </xf>
    <xf numFmtId="0" fontId="35" fillId="9" borderId="30" xfId="1" applyFont="1" applyFill="1" applyBorder="1"/>
    <xf numFmtId="1" fontId="33" fillId="9" borderId="30" xfId="1" applyNumberFormat="1" applyFont="1" applyFill="1" applyBorder="1" applyAlignment="1">
      <alignment horizontal="center"/>
    </xf>
    <xf numFmtId="2" fontId="34" fillId="9" borderId="30" xfId="1" applyNumberFormat="1" applyFont="1" applyFill="1" applyBorder="1"/>
    <xf numFmtId="2" fontId="33" fillId="9" borderId="30" xfId="1" applyNumberFormat="1" applyFont="1" applyFill="1" applyBorder="1" applyAlignment="1">
      <alignment horizontal="left"/>
    </xf>
    <xf numFmtId="1" fontId="33" fillId="9" borderId="30" xfId="1" applyNumberFormat="1" applyFont="1" applyFill="1" applyBorder="1" applyAlignment="1">
      <alignment horizontal="center" vertical="center"/>
    </xf>
    <xf numFmtId="2" fontId="33" fillId="9" borderId="30" xfId="1" applyNumberFormat="1" applyFont="1" applyFill="1" applyBorder="1" applyAlignment="1">
      <alignment horizontal="left" vertical="center" wrapText="1"/>
    </xf>
    <xf numFmtId="2" fontId="33" fillId="9" borderId="30" xfId="1" applyNumberFormat="1" applyFont="1" applyFill="1" applyBorder="1" applyAlignment="1">
      <alignment horizontal="left" wrapText="1"/>
    </xf>
    <xf numFmtId="2" fontId="34" fillId="9" borderId="30" xfId="1" applyNumberFormat="1" applyFont="1" applyFill="1" applyBorder="1" applyAlignment="1">
      <alignment vertical="center"/>
    </xf>
    <xf numFmtId="2" fontId="19" fillId="9" borderId="30" xfId="1" applyNumberFormat="1" applyFont="1" applyFill="1" applyBorder="1" applyAlignment="1">
      <alignment vertical="center"/>
    </xf>
    <xf numFmtId="1" fontId="33" fillId="9" borderId="30" xfId="1" applyNumberFormat="1" applyFont="1" applyFill="1" applyBorder="1" applyAlignment="1">
      <alignment horizontal="left" vertical="center"/>
    </xf>
    <xf numFmtId="1" fontId="33" fillId="9" borderId="30" xfId="1" applyNumberFormat="1" applyFont="1" applyFill="1" applyBorder="1" applyAlignment="1">
      <alignment horizontal="center" vertical="top"/>
    </xf>
    <xf numFmtId="1" fontId="122" fillId="9" borderId="30" xfId="1" applyNumberFormat="1" applyFont="1" applyFill="1" applyBorder="1" applyAlignment="1">
      <alignment horizontal="left" vertical="center"/>
    </xf>
    <xf numFmtId="0" fontId="112" fillId="9" borderId="30" xfId="1" applyFont="1" applyFill="1" applyBorder="1" applyAlignment="1">
      <alignment vertical="center" wrapText="1"/>
    </xf>
    <xf numFmtId="2" fontId="111" fillId="9" borderId="30" xfId="1" applyNumberFormat="1" applyFont="1" applyFill="1" applyBorder="1"/>
    <xf numFmtId="0" fontId="37" fillId="9" borderId="30" xfId="1" applyFont="1" applyFill="1" applyBorder="1" applyAlignment="1">
      <alignment horizontal="center"/>
    </xf>
    <xf numFmtId="0" fontId="44" fillId="9" borderId="30" xfId="1" applyFont="1" applyFill="1" applyBorder="1"/>
    <xf numFmtId="0" fontId="73" fillId="9" borderId="30" xfId="1" applyFont="1" applyFill="1" applyBorder="1" applyAlignment="1">
      <alignment vertical="center" wrapText="1"/>
    </xf>
    <xf numFmtId="0" fontId="127" fillId="9" borderId="30" xfId="1" applyFont="1" applyFill="1" applyBorder="1" applyAlignment="1">
      <alignment horizontal="center" vertical="center" wrapText="1"/>
    </xf>
    <xf numFmtId="2" fontId="86" fillId="9" borderId="30" xfId="2" applyNumberFormat="1" applyFont="1" applyFill="1" applyBorder="1" applyAlignment="1">
      <alignment vertical="center"/>
    </xf>
    <xf numFmtId="43" fontId="86" fillId="9" borderId="30" xfId="2" applyFont="1" applyFill="1" applyBorder="1" applyAlignment="1">
      <alignment vertical="center"/>
    </xf>
    <xf numFmtId="0" fontId="132" fillId="9" borderId="30" xfId="1" applyFont="1" applyFill="1" applyBorder="1" applyAlignment="1">
      <alignment vertical="center" wrapText="1"/>
    </xf>
    <xf numFmtId="43" fontId="132" fillId="9" borderId="30" xfId="2" applyFont="1" applyFill="1" applyBorder="1" applyAlignment="1">
      <alignment vertical="center"/>
    </xf>
    <xf numFmtId="2" fontId="131" fillId="9" borderId="30" xfId="2" applyNumberFormat="1" applyFont="1" applyFill="1" applyBorder="1" applyAlignment="1">
      <alignment vertical="center"/>
    </xf>
    <xf numFmtId="43" fontId="131" fillId="9" borderId="30" xfId="2" applyFont="1" applyFill="1" applyBorder="1" applyAlignment="1">
      <alignment vertical="center"/>
    </xf>
    <xf numFmtId="0" fontId="16" fillId="9" borderId="30" xfId="1" applyFont="1" applyFill="1" applyBorder="1" applyAlignment="1">
      <alignment horizontal="left" vertical="center"/>
    </xf>
    <xf numFmtId="0" fontId="85" fillId="9" borderId="30" xfId="1" applyFont="1" applyFill="1" applyBorder="1" applyAlignment="1">
      <alignment horizontal="center" vertical="center"/>
    </xf>
    <xf numFmtId="164" fontId="94" fillId="9" borderId="30" xfId="2" applyNumberFormat="1" applyFont="1" applyFill="1" applyBorder="1" applyAlignment="1">
      <alignment horizontal="right" vertical="center"/>
    </xf>
    <xf numFmtId="0" fontId="33" fillId="9" borderId="30" xfId="1" applyFont="1" applyFill="1" applyBorder="1" applyAlignment="1">
      <alignment vertical="center"/>
    </xf>
    <xf numFmtId="0" fontId="4" fillId="9" borderId="30" xfId="1" applyFont="1" applyFill="1" applyBorder="1" applyAlignment="1">
      <alignment vertical="center"/>
    </xf>
    <xf numFmtId="43" fontId="22" fillId="9" borderId="30" xfId="2" applyFont="1" applyFill="1" applyBorder="1" applyAlignment="1">
      <alignment vertical="center"/>
    </xf>
    <xf numFmtId="0" fontId="16" fillId="9" borderId="30" xfId="1" applyFont="1" applyFill="1" applyBorder="1" applyAlignment="1">
      <alignment vertical="center"/>
    </xf>
    <xf numFmtId="43" fontId="94" fillId="9" borderId="30" xfId="2" applyFont="1" applyFill="1" applyBorder="1" applyAlignment="1">
      <alignment horizontal="right" vertical="center"/>
    </xf>
    <xf numFmtId="43" fontId="85" fillId="9" borderId="30" xfId="2" applyFont="1" applyFill="1" applyBorder="1" applyAlignment="1">
      <alignment horizontal="right" vertical="center"/>
    </xf>
    <xf numFmtId="0" fontId="33" fillId="9" borderId="30" xfId="1" applyFont="1" applyFill="1" applyBorder="1" applyAlignment="1">
      <alignment horizontal="left" vertical="center"/>
    </xf>
    <xf numFmtId="0" fontId="20" fillId="8" borderId="30" xfId="1" applyFont="1" applyFill="1" applyBorder="1" applyAlignment="1">
      <alignment horizontal="left" vertical="center"/>
    </xf>
    <xf numFmtId="0" fontId="127" fillId="8" borderId="30" xfId="1" applyFont="1" applyFill="1" applyBorder="1" applyAlignment="1">
      <alignment horizontal="center" vertical="center" wrapText="1"/>
    </xf>
    <xf numFmtId="0" fontId="85" fillId="8" borderId="30" xfId="1" applyFont="1" applyFill="1" applyBorder="1" applyAlignment="1">
      <alignment horizontal="center" vertical="center"/>
    </xf>
    <xf numFmtId="2" fontId="86" fillId="8" borderId="30" xfId="2" applyNumberFormat="1" applyFont="1" applyFill="1" applyBorder="1" applyAlignment="1">
      <alignment vertical="center"/>
    </xf>
    <xf numFmtId="43" fontId="86" fillId="8" borderId="30" xfId="2" applyFont="1" applyFill="1" applyBorder="1" applyAlignment="1">
      <alignment vertical="center"/>
    </xf>
    <xf numFmtId="43" fontId="85" fillId="8" borderId="30" xfId="2" applyFont="1" applyFill="1" applyBorder="1" applyAlignment="1">
      <alignment vertical="center"/>
    </xf>
    <xf numFmtId="0" fontId="19" fillId="8" borderId="30" xfId="1" applyFont="1" applyFill="1" applyBorder="1" applyAlignment="1">
      <alignment horizontal="left" vertical="center"/>
    </xf>
    <xf numFmtId="43" fontId="85" fillId="8" borderId="30" xfId="2" applyFont="1" applyFill="1" applyBorder="1" applyAlignment="1">
      <alignment horizontal="right" vertical="center"/>
    </xf>
    <xf numFmtId="0" fontId="16" fillId="9" borderId="30" xfId="1" applyFont="1" applyFill="1" applyBorder="1" applyAlignment="1">
      <alignment horizontal="left" vertical="center" wrapText="1"/>
    </xf>
    <xf numFmtId="43" fontId="94" fillId="9" borderId="30" xfId="1" applyNumberFormat="1" applyFont="1" applyFill="1" applyBorder="1" applyAlignment="1">
      <alignment horizontal="right" vertical="center"/>
    </xf>
    <xf numFmtId="165" fontId="94" fillId="9" borderId="30" xfId="1" applyNumberFormat="1" applyFont="1" applyFill="1" applyBorder="1" applyAlignment="1">
      <alignment horizontal="right" vertical="center"/>
    </xf>
    <xf numFmtId="1" fontId="132" fillId="9" borderId="30" xfId="1" applyNumberFormat="1" applyFont="1" applyFill="1" applyBorder="1" applyAlignment="1">
      <alignment horizontal="center" vertical="center"/>
    </xf>
    <xf numFmtId="0" fontId="134" fillId="2" borderId="0" xfId="1" applyFont="1" applyFill="1" applyAlignment="1">
      <alignment horizontal="center" vertical="center"/>
    </xf>
    <xf numFmtId="2" fontId="19" fillId="9" borderId="16" xfId="1" applyNumberFormat="1" applyFont="1" applyFill="1" applyBorder="1"/>
    <xf numFmtId="2" fontId="19" fillId="9" borderId="13" xfId="1" applyNumberFormat="1" applyFont="1" applyFill="1" applyBorder="1"/>
    <xf numFmtId="166" fontId="23" fillId="9" borderId="33" xfId="2" applyNumberFormat="1" applyFont="1" applyFill="1" applyBorder="1" applyAlignment="1">
      <alignment horizontal="center"/>
    </xf>
    <xf numFmtId="1" fontId="28" fillId="9" borderId="29" xfId="2" applyNumberFormat="1" applyFont="1" applyFill="1" applyBorder="1" applyAlignment="1">
      <alignment horizontal="center"/>
    </xf>
    <xf numFmtId="1" fontId="33" fillId="0" borderId="15" xfId="1" applyNumberFormat="1" applyFont="1" applyBorder="1" applyAlignment="1">
      <alignment horizontal="right" vertical="center"/>
    </xf>
    <xf numFmtId="1" fontId="33" fillId="9" borderId="15" xfId="1" applyNumberFormat="1" applyFont="1" applyFill="1" applyBorder="1" applyAlignment="1">
      <alignment horizontal="center" vertical="center"/>
    </xf>
    <xf numFmtId="9" fontId="28" fillId="9" borderId="16" xfId="2" applyNumberFormat="1" applyFont="1" applyFill="1" applyBorder="1" applyAlignment="1">
      <alignment horizontal="center"/>
    </xf>
    <xf numFmtId="9" fontId="84" fillId="9" borderId="33" xfId="2" applyNumberFormat="1" applyFont="1" applyFill="1" applyBorder="1" applyAlignment="1">
      <alignment horizontal="center"/>
    </xf>
    <xf numFmtId="0" fontId="127" fillId="0" borderId="15" xfId="1" applyFont="1" applyBorder="1" applyAlignment="1">
      <alignment horizontal="center"/>
    </xf>
    <xf numFmtId="166" fontId="84" fillId="9" borderId="33" xfId="2" applyNumberFormat="1" applyFont="1" applyFill="1" applyBorder="1" applyAlignment="1">
      <alignment horizontal="center"/>
    </xf>
    <xf numFmtId="1" fontId="33" fillId="9" borderId="15" xfId="1" applyNumberFormat="1" applyFont="1" applyFill="1" applyBorder="1" applyAlignment="1">
      <alignment horizontal="center"/>
    </xf>
    <xf numFmtId="2" fontId="47" fillId="9" borderId="16" xfId="1" applyNumberFormat="1" applyFont="1" applyFill="1" applyBorder="1"/>
    <xf numFmtId="167" fontId="132" fillId="9" borderId="15" xfId="1" applyNumberFormat="1" applyFont="1" applyFill="1" applyBorder="1" applyAlignment="1">
      <alignment horizontal="center" vertical="center"/>
    </xf>
    <xf numFmtId="2" fontId="16" fillId="9" borderId="16" xfId="1" applyNumberFormat="1" applyFont="1" applyFill="1" applyBorder="1"/>
    <xf numFmtId="2" fontId="16" fillId="9" borderId="13" xfId="1" applyNumberFormat="1" applyFont="1" applyFill="1" applyBorder="1"/>
    <xf numFmtId="166" fontId="137" fillId="9" borderId="33" xfId="2" applyNumberFormat="1" applyFont="1" applyFill="1" applyBorder="1" applyAlignment="1">
      <alignment horizontal="center"/>
    </xf>
    <xf numFmtId="0" fontId="20" fillId="9" borderId="30" xfId="1" applyFont="1" applyFill="1" applyBorder="1" applyAlignment="1">
      <alignment horizontal="center" vertical="center"/>
    </xf>
    <xf numFmtId="0" fontId="83" fillId="9" borderId="30" xfId="1" applyFont="1" applyFill="1" applyBorder="1" applyAlignment="1">
      <alignment horizontal="center"/>
    </xf>
    <xf numFmtId="0" fontId="113" fillId="9" borderId="30" xfId="1" applyFont="1" applyFill="1" applyBorder="1"/>
    <xf numFmtId="2" fontId="111" fillId="9" borderId="13" xfId="1" applyNumberFormat="1" applyFont="1" applyFill="1" applyBorder="1"/>
    <xf numFmtId="0" fontId="81" fillId="9" borderId="30" xfId="1" applyFont="1" applyFill="1" applyBorder="1" applyAlignment="1">
      <alignment vertical="center" wrapText="1"/>
    </xf>
    <xf numFmtId="2" fontId="127" fillId="0" borderId="15" xfId="1" applyNumberFormat="1" applyFont="1" applyBorder="1" applyAlignment="1">
      <alignment horizontal="center" vertical="center"/>
    </xf>
    <xf numFmtId="2" fontId="19" fillId="9" borderId="16" xfId="1" applyNumberFormat="1" applyFont="1" applyFill="1" applyBorder="1" applyAlignment="1">
      <alignment vertical="center"/>
    </xf>
    <xf numFmtId="0" fontId="83" fillId="0" borderId="30" xfId="1" applyFont="1" applyBorder="1" applyAlignment="1">
      <alignment horizontal="center" vertical="center" wrapText="1"/>
    </xf>
    <xf numFmtId="0" fontId="37" fillId="0" borderId="30" xfId="1" applyFont="1" applyBorder="1" applyAlignment="1">
      <alignment horizontal="center" vertical="center"/>
    </xf>
    <xf numFmtId="0" fontId="81" fillId="9" borderId="30" xfId="0" applyFont="1" applyFill="1" applyBorder="1" applyAlignment="1">
      <alignment vertical="center" wrapText="1"/>
    </xf>
    <xf numFmtId="0" fontId="136" fillId="9" borderId="30" xfId="1" applyFont="1" applyFill="1" applyBorder="1"/>
    <xf numFmtId="2" fontId="33" fillId="9" borderId="30" xfId="1" applyNumberFormat="1" applyFont="1" applyFill="1" applyBorder="1" applyAlignment="1">
      <alignment vertical="center"/>
    </xf>
    <xf numFmtId="1" fontId="132" fillId="9" borderId="30" xfId="1" applyNumberFormat="1" applyFont="1" applyFill="1" applyBorder="1" applyAlignment="1">
      <alignment horizontal="left" vertical="center"/>
    </xf>
    <xf numFmtId="1" fontId="132" fillId="9" borderId="30" xfId="1" applyNumberFormat="1" applyFont="1" applyFill="1" applyBorder="1" applyAlignment="1">
      <alignment horizontal="left" wrapText="1"/>
    </xf>
    <xf numFmtId="0" fontId="132" fillId="9" borderId="30" xfId="1" applyFont="1" applyFill="1" applyBorder="1" applyAlignment="1">
      <alignment horizontal="left" vertical="center"/>
    </xf>
    <xf numFmtId="0" fontId="132" fillId="9" borderId="30" xfId="1" applyFont="1" applyFill="1" applyBorder="1" applyAlignment="1">
      <alignment horizontal="center" vertical="center"/>
    </xf>
    <xf numFmtId="2" fontId="35" fillId="9" borderId="30" xfId="1" applyNumberFormat="1" applyFont="1" applyFill="1" applyBorder="1" applyAlignment="1">
      <alignment vertical="center"/>
    </xf>
    <xf numFmtId="2" fontId="16" fillId="9" borderId="30" xfId="1" applyNumberFormat="1" applyFont="1" applyFill="1" applyBorder="1" applyAlignment="1">
      <alignment vertical="center"/>
    </xf>
    <xf numFmtId="2" fontId="33" fillId="9" borderId="30" xfId="1" applyNumberFormat="1" applyFont="1" applyFill="1" applyBorder="1"/>
    <xf numFmtId="2" fontId="20" fillId="9" borderId="30" xfId="1" applyNumberFormat="1" applyFont="1" applyFill="1" applyBorder="1" applyAlignment="1">
      <alignment vertical="center"/>
    </xf>
    <xf numFmtId="2" fontId="20" fillId="9" borderId="30" xfId="1" applyNumberFormat="1" applyFont="1" applyFill="1" applyBorder="1"/>
    <xf numFmtId="0" fontId="33" fillId="9" borderId="30" xfId="1" applyFont="1" applyFill="1" applyBorder="1" applyAlignment="1">
      <alignment horizontal="center" vertical="center"/>
    </xf>
    <xf numFmtId="0" fontId="35" fillId="9" borderId="30" xfId="1" applyFont="1" applyFill="1" applyBorder="1" applyAlignment="1">
      <alignment horizontal="center" vertical="center" wrapText="1"/>
    </xf>
    <xf numFmtId="0" fontId="25" fillId="9" borderId="30" xfId="1" applyFont="1" applyFill="1" applyBorder="1" applyAlignment="1">
      <alignment horizontal="center" vertical="center" wrapText="1"/>
    </xf>
    <xf numFmtId="2" fontId="54" fillId="9" borderId="30" xfId="1" applyNumberFormat="1" applyFont="1" applyFill="1" applyBorder="1" applyAlignment="1">
      <alignment horizontal="center" vertical="center" wrapText="1"/>
    </xf>
    <xf numFmtId="2" fontId="135" fillId="9" borderId="30" xfId="1" applyNumberFormat="1" applyFont="1" applyFill="1" applyBorder="1" applyAlignment="1">
      <alignment horizontal="center" vertical="center" wrapText="1"/>
    </xf>
    <xf numFmtId="9" fontId="127" fillId="0" borderId="0" xfId="11" applyFont="1"/>
    <xf numFmtId="2" fontId="33" fillId="10" borderId="0" xfId="1" applyNumberFormat="1" applyFont="1" applyFill="1" applyAlignment="1">
      <alignment vertical="center" wrapText="1"/>
    </xf>
    <xf numFmtId="164" fontId="23" fillId="9" borderId="0" xfId="2" applyNumberFormat="1" applyFont="1" applyFill="1" applyBorder="1" applyAlignment="1">
      <alignment horizontal="center"/>
    </xf>
    <xf numFmtId="164" fontId="23" fillId="0" borderId="0" xfId="2" applyNumberFormat="1" applyFont="1" applyBorder="1" applyAlignment="1">
      <alignment horizontal="center"/>
    </xf>
    <xf numFmtId="166" fontId="23" fillId="0" borderId="0" xfId="2" applyNumberFormat="1" applyFont="1" applyBorder="1" applyAlignment="1">
      <alignment horizontal="center"/>
    </xf>
    <xf numFmtId="166" fontId="23" fillId="9" borderId="0" xfId="2" applyNumberFormat="1" applyFont="1" applyFill="1" applyBorder="1" applyAlignment="1">
      <alignment horizontal="center"/>
    </xf>
    <xf numFmtId="166" fontId="23" fillId="0" borderId="0" xfId="2" applyNumberFormat="1" applyFont="1" applyBorder="1" applyAlignment="1">
      <alignment horizontal="center" vertical="center"/>
    </xf>
    <xf numFmtId="166" fontId="116" fillId="0" borderId="0" xfId="2" applyNumberFormat="1" applyFont="1" applyBorder="1" applyAlignment="1">
      <alignment horizontal="center"/>
    </xf>
    <xf numFmtId="0" fontId="127" fillId="9" borderId="30" xfId="1" applyFont="1" applyFill="1" applyBorder="1" applyAlignment="1">
      <alignment horizontal="center"/>
    </xf>
    <xf numFmtId="0" fontId="33" fillId="8" borderId="21" xfId="1" applyFont="1" applyFill="1" applyBorder="1" applyAlignment="1">
      <alignment vertical="center"/>
    </xf>
    <xf numFmtId="0" fontId="33" fillId="10" borderId="18" xfId="1" applyFont="1" applyFill="1" applyBorder="1" applyAlignment="1">
      <alignment horizontal="center" vertical="center" wrapText="1"/>
    </xf>
    <xf numFmtId="0" fontId="33" fillId="10" borderId="19" xfId="1" applyFont="1" applyFill="1" applyBorder="1" applyAlignment="1">
      <alignment horizontal="center" vertical="center"/>
    </xf>
    <xf numFmtId="0" fontId="33" fillId="10" borderId="36" xfId="1" applyFont="1" applyFill="1" applyBorder="1" applyAlignment="1">
      <alignment vertical="center"/>
    </xf>
    <xf numFmtId="0" fontId="34" fillId="10" borderId="19" xfId="1" applyFont="1" applyFill="1" applyBorder="1" applyAlignment="1">
      <alignment horizontal="center" vertical="center" wrapText="1"/>
    </xf>
    <xf numFmtId="0" fontId="25" fillId="10" borderId="19" xfId="1" applyFont="1" applyFill="1" applyBorder="1" applyAlignment="1">
      <alignment horizontal="center" vertical="center" wrapText="1"/>
    </xf>
    <xf numFmtId="2" fontId="16" fillId="10" borderId="19" xfId="1" applyNumberFormat="1" applyFont="1" applyFill="1" applyBorder="1" applyAlignment="1">
      <alignment horizontal="center" vertical="center" wrapText="1"/>
    </xf>
    <xf numFmtId="2" fontId="129" fillId="10" borderId="19" xfId="1" applyNumberFormat="1" applyFont="1" applyFill="1" applyBorder="1" applyAlignment="1">
      <alignment horizontal="center" vertical="center" wrapText="1"/>
    </xf>
    <xf numFmtId="2" fontId="20" fillId="0" borderId="30" xfId="1" applyNumberFormat="1" applyFont="1" applyBorder="1" applyAlignment="1">
      <alignment horizontal="center" vertical="center"/>
    </xf>
    <xf numFmtId="2" fontId="33" fillId="9" borderId="30" xfId="1" applyNumberFormat="1" applyFont="1" applyFill="1" applyBorder="1" applyAlignment="1">
      <alignment horizontal="left" vertical="center"/>
    </xf>
    <xf numFmtId="2" fontId="132" fillId="0" borderId="30" xfId="1" applyNumberFormat="1" applyFont="1" applyBorder="1" applyAlignment="1">
      <alignment horizontal="left" vertical="center"/>
    </xf>
    <xf numFmtId="1" fontId="33" fillId="9" borderId="30" xfId="1" applyNumberFormat="1" applyFont="1" applyFill="1" applyBorder="1" applyAlignment="1">
      <alignment horizontal="left" vertical="top" wrapText="1"/>
    </xf>
    <xf numFmtId="2" fontId="19" fillId="9" borderId="30" xfId="1" applyNumberFormat="1" applyFont="1" applyFill="1" applyBorder="1" applyAlignment="1">
      <alignment horizontal="center" vertical="top" wrapText="1"/>
    </xf>
    <xf numFmtId="1" fontId="20" fillId="2" borderId="30" xfId="1" applyNumberFormat="1" applyFont="1" applyFill="1" applyBorder="1" applyAlignment="1">
      <alignment horizontal="left" vertical="center"/>
    </xf>
    <xf numFmtId="2" fontId="124" fillId="0" borderId="15" xfId="1" applyNumberFormat="1" applyFont="1" applyBorder="1" applyAlignment="1">
      <alignment horizontal="right" vertical="center"/>
    </xf>
    <xf numFmtId="1" fontId="20" fillId="2" borderId="30" xfId="1" applyNumberFormat="1" applyFont="1" applyFill="1" applyBorder="1" applyAlignment="1">
      <alignment vertical="center"/>
    </xf>
    <xf numFmtId="2" fontId="20" fillId="0" borderId="0" xfId="1" applyNumberFormat="1" applyFont="1" applyAlignment="1">
      <alignment vertical="center"/>
    </xf>
    <xf numFmtId="0" fontId="35" fillId="9" borderId="15" xfId="1" applyFont="1" applyFill="1" applyBorder="1" applyAlignment="1">
      <alignment horizontal="center" vertical="center"/>
    </xf>
    <xf numFmtId="1" fontId="32" fillId="11" borderId="15" xfId="1" applyNumberFormat="1" applyFont="1" applyFill="1" applyBorder="1" applyAlignment="1">
      <alignment horizontal="center" vertical="center"/>
    </xf>
    <xf numFmtId="2" fontId="33" fillId="11" borderId="30" xfId="1" applyNumberFormat="1" applyFont="1" applyFill="1" applyBorder="1" applyAlignment="1">
      <alignment horizontal="left" vertical="center"/>
    </xf>
    <xf numFmtId="0" fontId="20" fillId="11" borderId="30" xfId="1" applyFont="1" applyFill="1" applyBorder="1" applyAlignment="1">
      <alignment horizontal="center" vertical="center"/>
    </xf>
    <xf numFmtId="2" fontId="34" fillId="11" borderId="30" xfId="1" applyNumberFormat="1" applyFont="1" applyFill="1" applyBorder="1" applyAlignment="1">
      <alignment vertical="center"/>
    </xf>
    <xf numFmtId="2" fontId="19" fillId="11" borderId="30" xfId="1" applyNumberFormat="1" applyFont="1" applyFill="1" applyBorder="1" applyAlignment="1">
      <alignment vertical="center"/>
    </xf>
    <xf numFmtId="0" fontId="34" fillId="11" borderId="33" xfId="1" applyFont="1" applyFill="1" applyBorder="1" applyAlignment="1">
      <alignment vertical="center"/>
    </xf>
    <xf numFmtId="167" fontId="136" fillId="0" borderId="15" xfId="1" applyNumberFormat="1" applyFont="1" applyBorder="1" applyAlignment="1">
      <alignment horizontal="center" vertical="center"/>
    </xf>
    <xf numFmtId="2" fontId="33" fillId="0" borderId="30" xfId="1" applyNumberFormat="1" applyFont="1" applyBorder="1" applyAlignment="1">
      <alignment horizontal="left" vertical="center"/>
    </xf>
    <xf numFmtId="0" fontId="34" fillId="0" borderId="33" xfId="1" applyFont="1" applyBorder="1" applyAlignment="1">
      <alignment vertical="center"/>
    </xf>
    <xf numFmtId="1" fontId="124" fillId="0" borderId="15" xfId="1" applyNumberFormat="1" applyFont="1" applyBorder="1" applyAlignment="1">
      <alignment horizontal="right" vertical="center"/>
    </xf>
    <xf numFmtId="167" fontId="136" fillId="9" borderId="15" xfId="1" applyNumberFormat="1" applyFont="1" applyFill="1" applyBorder="1" applyAlignment="1">
      <alignment horizontal="center" vertical="center"/>
    </xf>
    <xf numFmtId="166" fontId="23" fillId="9" borderId="33" xfId="2" applyNumberFormat="1" applyFont="1" applyFill="1" applyBorder="1" applyAlignment="1">
      <alignment horizontal="center" vertical="center"/>
    </xf>
    <xf numFmtId="166" fontId="137" fillId="9" borderId="33" xfId="2" applyNumberFormat="1" applyFont="1" applyFill="1" applyBorder="1" applyAlignment="1">
      <alignment horizontal="center" vertical="center"/>
    </xf>
    <xf numFmtId="2" fontId="136" fillId="9" borderId="15" xfId="1" applyNumberFormat="1" applyFont="1" applyFill="1" applyBorder="1" applyAlignment="1">
      <alignment horizontal="center" vertical="center"/>
    </xf>
    <xf numFmtId="2" fontId="136" fillId="9" borderId="15" xfId="1" applyNumberFormat="1" applyFont="1" applyFill="1" applyBorder="1" applyAlignment="1">
      <alignment horizontal="left" vertical="center"/>
    </xf>
    <xf numFmtId="2" fontId="35" fillId="9" borderId="30" xfId="1" applyNumberFormat="1" applyFont="1" applyFill="1" applyBorder="1" applyAlignment="1">
      <alignment horizontal="left" vertical="center"/>
    </xf>
    <xf numFmtId="166" fontId="137" fillId="9" borderId="33" xfId="2" applyNumberFormat="1" applyFont="1" applyFill="1" applyBorder="1" applyAlignment="1">
      <alignment horizontal="left" vertical="center"/>
    </xf>
    <xf numFmtId="0" fontId="33" fillId="0" borderId="0" xfId="1" applyFont="1" applyAlignment="1">
      <alignment vertical="center"/>
    </xf>
    <xf numFmtId="2" fontId="33" fillId="0" borderId="0" xfId="1" applyNumberFormat="1" applyFont="1" applyAlignment="1">
      <alignment vertical="center"/>
    </xf>
    <xf numFmtId="1" fontId="33" fillId="11" borderId="15" xfId="1" applyNumberFormat="1" applyFont="1" applyFill="1" applyBorder="1" applyAlignment="1">
      <alignment horizontal="center" vertical="center"/>
    </xf>
    <xf numFmtId="2" fontId="33" fillId="11" borderId="30" xfId="1" applyNumberFormat="1" applyFont="1" applyFill="1" applyBorder="1" applyAlignment="1">
      <alignment horizontal="center" vertical="center"/>
    </xf>
    <xf numFmtId="166" fontId="23" fillId="11" borderId="33" xfId="2" applyNumberFormat="1" applyFont="1" applyFill="1" applyBorder="1" applyAlignment="1">
      <alignment horizontal="center" vertical="center"/>
    </xf>
    <xf numFmtId="166" fontId="84" fillId="9" borderId="33" xfId="2" applyNumberFormat="1" applyFont="1" applyFill="1" applyBorder="1" applyAlignment="1">
      <alignment horizontal="center" vertical="center"/>
    </xf>
    <xf numFmtId="166" fontId="60" fillId="0" borderId="33" xfId="2" applyNumberFormat="1" applyFont="1" applyBorder="1" applyAlignment="1">
      <alignment horizontal="center" vertical="center"/>
    </xf>
    <xf numFmtId="9" fontId="28" fillId="9" borderId="33" xfId="2" applyNumberFormat="1" applyFont="1" applyFill="1" applyBorder="1" applyAlignment="1">
      <alignment horizontal="center" vertical="center"/>
    </xf>
    <xf numFmtId="1" fontId="20" fillId="0" borderId="30" xfId="1" applyNumberFormat="1" applyFont="1" applyBorder="1" applyAlignment="1">
      <alignment vertical="center"/>
    </xf>
    <xf numFmtId="1" fontId="33" fillId="9" borderId="30" xfId="1" applyNumberFormat="1" applyFont="1" applyFill="1" applyBorder="1" applyAlignment="1">
      <alignment horizontal="left" vertical="center" wrapText="1"/>
    </xf>
    <xf numFmtId="1" fontId="33" fillId="0" borderId="15" xfId="1" applyNumberFormat="1" applyFont="1" applyBorder="1" applyAlignment="1">
      <alignment horizontal="center" vertical="center" wrapText="1"/>
    </xf>
    <xf numFmtId="0" fontId="33" fillId="0" borderId="15" xfId="1" applyFont="1" applyBorder="1" applyAlignment="1">
      <alignment horizontal="center" vertical="center"/>
    </xf>
    <xf numFmtId="1" fontId="33" fillId="0" borderId="30" xfId="1" applyNumberFormat="1" applyFont="1" applyBorder="1" applyAlignment="1">
      <alignment horizontal="center" vertical="center" wrapText="1"/>
    </xf>
    <xf numFmtId="2" fontId="35" fillId="0" borderId="30" xfId="1" applyNumberFormat="1" applyFont="1" applyBorder="1" applyAlignment="1">
      <alignment vertical="center"/>
    </xf>
    <xf numFmtId="166" fontId="137" fillId="0" borderId="33" xfId="2" applyNumberFormat="1" applyFont="1" applyBorder="1" applyAlignment="1">
      <alignment horizontal="center" vertical="center"/>
    </xf>
    <xf numFmtId="1" fontId="33" fillId="9" borderId="15" xfId="1" applyNumberFormat="1" applyFont="1" applyFill="1" applyBorder="1" applyAlignment="1">
      <alignment horizontal="right" vertical="center"/>
    </xf>
    <xf numFmtId="1" fontId="33" fillId="9" borderId="30" xfId="1" applyNumberFormat="1" applyFont="1" applyFill="1" applyBorder="1" applyAlignment="1">
      <alignment horizontal="center" vertical="center" wrapText="1"/>
    </xf>
    <xf numFmtId="1" fontId="132" fillId="9" borderId="30" xfId="1" applyNumberFormat="1" applyFont="1" applyFill="1" applyBorder="1" applyAlignment="1">
      <alignment horizontal="left" vertical="center" wrapText="1"/>
    </xf>
    <xf numFmtId="0" fontId="58" fillId="0" borderId="15" xfId="1" applyFont="1" applyBorder="1" applyAlignment="1">
      <alignment horizontal="right" vertical="center"/>
    </xf>
    <xf numFmtId="0" fontId="58" fillId="0" borderId="15" xfId="1" applyFont="1" applyBorder="1" applyAlignment="1">
      <alignment vertical="center"/>
    </xf>
    <xf numFmtId="1" fontId="19" fillId="0" borderId="15" xfId="1" applyNumberFormat="1" applyFont="1" applyBorder="1" applyAlignment="1">
      <alignment horizontal="right" vertical="center"/>
    </xf>
    <xf numFmtId="1" fontId="37" fillId="0" borderId="30" xfId="1" applyNumberFormat="1" applyFont="1" applyBorder="1" applyAlignment="1">
      <alignment horizontal="left" vertical="center"/>
    </xf>
    <xf numFmtId="1" fontId="41" fillId="0" borderId="15" xfId="1" applyNumberFormat="1" applyFont="1" applyBorder="1" applyAlignment="1">
      <alignment horizontal="right" vertical="center"/>
    </xf>
    <xf numFmtId="0" fontId="62" fillId="0" borderId="15" xfId="1" applyFont="1" applyBorder="1" applyAlignment="1">
      <alignment horizontal="right" vertical="center"/>
    </xf>
    <xf numFmtId="0" fontId="21" fillId="10" borderId="19" xfId="4" applyFont="1" applyFill="1" applyBorder="1" applyAlignment="1">
      <alignment horizontal="center" vertical="center"/>
    </xf>
    <xf numFmtId="0" fontId="21" fillId="10" borderId="26" xfId="4" applyFont="1" applyFill="1" applyBorder="1" applyAlignment="1">
      <alignment horizontal="center" vertical="center"/>
    </xf>
    <xf numFmtId="0" fontId="68" fillId="10" borderId="26" xfId="4" applyFont="1" applyFill="1" applyBorder="1" applyAlignment="1">
      <alignment horizontal="center" vertical="center"/>
    </xf>
    <xf numFmtId="1" fontId="28" fillId="0" borderId="48" xfId="4" applyNumberFormat="1" applyFont="1" applyBorder="1"/>
    <xf numFmtId="0" fontId="66" fillId="0" borderId="33" xfId="4" applyFont="1" applyBorder="1"/>
    <xf numFmtId="0" fontId="110" fillId="10" borderId="18" xfId="4" applyFont="1" applyFill="1" applyBorder="1" applyAlignment="1">
      <alignment horizontal="center" vertical="center"/>
    </xf>
    <xf numFmtId="0" fontId="110" fillId="10" borderId="19" xfId="4" applyFont="1" applyFill="1" applyBorder="1" applyAlignment="1">
      <alignment horizontal="center" vertical="center"/>
    </xf>
    <xf numFmtId="0" fontId="132" fillId="10" borderId="19" xfId="4" applyFont="1" applyFill="1" applyBorder="1" applyAlignment="1">
      <alignment horizontal="center" wrapText="1"/>
    </xf>
    <xf numFmtId="0" fontId="132" fillId="10" borderId="36" xfId="4" applyFont="1" applyFill="1" applyBorder="1" applyAlignment="1">
      <alignment horizontal="center" vertical="center" wrapText="1"/>
    </xf>
    <xf numFmtId="0" fontId="125" fillId="0" borderId="15" xfId="4" applyFont="1" applyBorder="1" applyAlignment="1">
      <alignment horizontal="center"/>
    </xf>
    <xf numFmtId="0" fontId="125" fillId="2" borderId="15" xfId="4" applyFont="1" applyFill="1" applyBorder="1" applyAlignment="1">
      <alignment horizontal="center"/>
    </xf>
    <xf numFmtId="168" fontId="130" fillId="7" borderId="15" xfId="4" applyNumberFormat="1" applyFont="1" applyFill="1" applyBorder="1" applyAlignment="1">
      <alignment horizontal="center"/>
    </xf>
    <xf numFmtId="0" fontId="73" fillId="7" borderId="30" xfId="4" applyFont="1" applyFill="1" applyBorder="1" applyAlignment="1">
      <alignment vertical="center" wrapText="1"/>
    </xf>
    <xf numFmtId="0" fontId="39" fillId="7" borderId="30" xfId="4" applyFont="1" applyFill="1" applyBorder="1"/>
    <xf numFmtId="0" fontId="21" fillId="7" borderId="33" xfId="4" applyFont="1" applyFill="1" applyBorder="1"/>
    <xf numFmtId="0" fontId="21" fillId="7" borderId="30" xfId="4" applyFont="1" applyFill="1" applyBorder="1" applyAlignment="1">
      <alignment horizontal="center"/>
    </xf>
    <xf numFmtId="2" fontId="26" fillId="7" borderId="30" xfId="4" applyNumberFormat="1" applyFont="1" applyFill="1" applyBorder="1"/>
    <xf numFmtId="0" fontId="73" fillId="7" borderId="30" xfId="4" applyFont="1" applyFill="1" applyBorder="1" applyAlignment="1">
      <alignment horizontal="left" vertical="center" wrapText="1"/>
    </xf>
    <xf numFmtId="168" fontId="130" fillId="7" borderId="15" xfId="4" applyNumberFormat="1" applyFont="1" applyFill="1" applyBorder="1" applyAlignment="1">
      <alignment horizontal="center" vertical="center"/>
    </xf>
    <xf numFmtId="0" fontId="21" fillId="7" borderId="30" xfId="4" applyFont="1" applyFill="1" applyBorder="1" applyAlignment="1">
      <alignment horizontal="center" vertical="center"/>
    </xf>
    <xf numFmtId="2" fontId="26" fillId="7" borderId="30" xfId="4" applyNumberFormat="1" applyFont="1" applyFill="1" applyBorder="1" applyAlignment="1">
      <alignment vertical="center"/>
    </xf>
    <xf numFmtId="0" fontId="21" fillId="7" borderId="33" xfId="4" applyFont="1" applyFill="1" applyBorder="1" applyAlignment="1">
      <alignment vertical="center"/>
    </xf>
    <xf numFmtId="168" fontId="130" fillId="7" borderId="25" xfId="4" applyNumberFormat="1" applyFont="1" applyFill="1" applyBorder="1" applyAlignment="1">
      <alignment horizontal="center"/>
    </xf>
    <xf numFmtId="0" fontId="73" fillId="7" borderId="26" xfId="4" applyFont="1" applyFill="1" applyBorder="1" applyAlignment="1">
      <alignment horizontal="left" vertical="center" wrapText="1"/>
    </xf>
    <xf numFmtId="0" fontId="21" fillId="7" borderId="26" xfId="4" applyFont="1" applyFill="1" applyBorder="1" applyAlignment="1">
      <alignment horizontal="center"/>
    </xf>
    <xf numFmtId="2" fontId="26" fillId="7" borderId="26" xfId="4" applyNumberFormat="1" applyFont="1" applyFill="1" applyBorder="1"/>
    <xf numFmtId="0" fontId="21" fillId="7" borderId="31" xfId="4" applyFont="1" applyFill="1" applyBorder="1"/>
    <xf numFmtId="2" fontId="125" fillId="0" borderId="33" xfId="4" applyNumberFormat="1" applyFont="1" applyBorder="1"/>
    <xf numFmtId="0" fontId="73" fillId="10" borderId="38" xfId="1" applyFont="1" applyFill="1" applyBorder="1" applyAlignment="1">
      <alignment horizontal="center" vertical="center"/>
    </xf>
    <xf numFmtId="0" fontId="73" fillId="10" borderId="10" xfId="1" applyFont="1" applyFill="1" applyBorder="1" applyAlignment="1">
      <alignment horizontal="center" vertical="center"/>
    </xf>
    <xf numFmtId="0" fontId="140" fillId="0" borderId="12" xfId="7" applyFont="1" applyBorder="1" applyAlignment="1">
      <alignment horizontal="center" vertical="center"/>
    </xf>
    <xf numFmtId="0" fontId="140" fillId="0" borderId="15" xfId="7" applyFont="1" applyBorder="1" applyAlignment="1">
      <alignment horizontal="center" vertical="center"/>
    </xf>
    <xf numFmtId="0" fontId="140" fillId="0" borderId="25" xfId="7" applyFont="1" applyBorder="1" applyAlignment="1">
      <alignment horizontal="center" vertical="center"/>
    </xf>
    <xf numFmtId="0" fontId="48" fillId="0" borderId="30" xfId="7" applyFont="1" applyBorder="1" applyAlignment="1">
      <alignment horizontal="left" vertical="center" wrapText="1"/>
    </xf>
    <xf numFmtId="0" fontId="48" fillId="0" borderId="30" xfId="7" quotePrefix="1" applyFont="1" applyBorder="1" applyAlignment="1">
      <alignment horizontal="left" vertical="center"/>
    </xf>
    <xf numFmtId="2" fontId="48" fillId="0" borderId="33" xfId="7" applyNumberFormat="1" applyFont="1" applyBorder="1" applyAlignment="1">
      <alignment horizontal="right" vertical="center"/>
    </xf>
    <xf numFmtId="0" fontId="48" fillId="0" borderId="26" xfId="7" applyFont="1" applyBorder="1" applyAlignment="1">
      <alignment horizontal="center" vertical="center"/>
    </xf>
    <xf numFmtId="2" fontId="48" fillId="0" borderId="31" xfId="7" applyNumberFormat="1" applyFont="1" applyBorder="1" applyAlignment="1">
      <alignment horizontal="right" vertical="center"/>
    </xf>
    <xf numFmtId="2" fontId="48" fillId="0" borderId="29" xfId="7" applyNumberFormat="1" applyFont="1" applyBorder="1" applyAlignment="1">
      <alignment horizontal="right" vertical="center"/>
    </xf>
    <xf numFmtId="0" fontId="73" fillId="10" borderId="26" xfId="7" applyFont="1" applyFill="1" applyBorder="1" applyAlignment="1">
      <alignment horizontal="center" vertical="center"/>
    </xf>
    <xf numFmtId="0" fontId="136" fillId="10" borderId="30" xfId="1" applyFont="1" applyFill="1" applyBorder="1" applyAlignment="1">
      <alignment horizontal="center" vertical="center" wrapText="1"/>
    </xf>
    <xf numFmtId="0" fontId="35" fillId="9" borderId="30" xfId="1" applyFont="1" applyFill="1" applyBorder="1" applyAlignment="1">
      <alignment horizontal="center"/>
    </xf>
    <xf numFmtId="0" fontId="33" fillId="9" borderId="30" xfId="1" applyFont="1" applyFill="1" applyBorder="1" applyAlignment="1">
      <alignment vertical="center" wrapText="1"/>
    </xf>
    <xf numFmtId="0" fontId="34" fillId="9" borderId="30" xfId="1" applyFont="1" applyFill="1" applyBorder="1" applyAlignment="1">
      <alignment horizontal="center"/>
    </xf>
    <xf numFmtId="0" fontId="34" fillId="9" borderId="30" xfId="1" applyFont="1" applyFill="1" applyBorder="1" applyAlignment="1">
      <alignment horizontal="center" vertical="center"/>
    </xf>
    <xf numFmtId="1" fontId="33" fillId="9" borderId="30" xfId="1" applyNumberFormat="1" applyFont="1" applyFill="1" applyBorder="1"/>
    <xf numFmtId="0" fontId="62" fillId="9" borderId="30" xfId="1" applyFont="1" applyFill="1" applyBorder="1" applyAlignment="1">
      <alignment horizontal="center"/>
    </xf>
    <xf numFmtId="1" fontId="16" fillId="9" borderId="30" xfId="1" applyNumberFormat="1" applyFont="1" applyFill="1" applyBorder="1" applyAlignment="1">
      <alignment horizontal="center"/>
    </xf>
    <xf numFmtId="0" fontId="16" fillId="9" borderId="30" xfId="1" applyFont="1" applyFill="1" applyBorder="1" applyAlignment="1">
      <alignment vertical="center" wrapText="1"/>
    </xf>
    <xf numFmtId="0" fontId="73" fillId="9" borderId="30" xfId="1" applyFont="1" applyFill="1" applyBorder="1" applyAlignment="1">
      <alignment horizontal="left" vertical="center" wrapText="1"/>
    </xf>
    <xf numFmtId="0" fontId="33" fillId="9" borderId="30" xfId="1" applyFont="1" applyFill="1" applyBorder="1" applyAlignment="1">
      <alignment horizontal="left" vertical="center" wrapText="1"/>
    </xf>
    <xf numFmtId="0" fontId="132" fillId="9" borderId="30" xfId="1" applyFont="1" applyFill="1" applyBorder="1" applyAlignment="1">
      <alignment horizontal="left" vertical="center" wrapText="1"/>
    </xf>
    <xf numFmtId="0" fontId="20" fillId="9" borderId="30" xfId="1" applyFont="1" applyFill="1" applyBorder="1" applyAlignment="1">
      <alignment horizontal="center" vertical="center" wrapText="1"/>
    </xf>
    <xf numFmtId="0" fontId="73" fillId="10" borderId="30" xfId="0" applyFont="1" applyFill="1" applyBorder="1" applyAlignment="1">
      <alignment horizontal="center"/>
    </xf>
    <xf numFmtId="0" fontId="73" fillId="10" borderId="16" xfId="0" applyFont="1" applyFill="1" applyBorder="1" applyAlignment="1">
      <alignment horizontal="center"/>
    </xf>
    <xf numFmtId="0" fontId="48" fillId="7" borderId="30" xfId="0" applyFont="1" applyFill="1" applyBorder="1" applyAlignment="1">
      <alignment horizontal="center" vertical="center"/>
    </xf>
    <xf numFmtId="0" fontId="73" fillId="7" borderId="30" xfId="0" applyFont="1" applyFill="1" applyBorder="1" applyAlignment="1">
      <alignment horizontal="center" vertical="center"/>
    </xf>
    <xf numFmtId="0" fontId="73" fillId="7" borderId="30" xfId="0" applyFont="1" applyFill="1" applyBorder="1" applyAlignment="1">
      <alignment horizontal="center"/>
    </xf>
    <xf numFmtId="0" fontId="125" fillId="0" borderId="30" xfId="0" applyFont="1" applyBorder="1" applyAlignment="1">
      <alignment horizontal="center" vertical="center"/>
    </xf>
    <xf numFmtId="2" fontId="127" fillId="0" borderId="30" xfId="0" applyNumberFormat="1" applyFont="1" applyBorder="1" applyAlignment="1">
      <alignment horizontal="center"/>
    </xf>
    <xf numFmtId="2" fontId="127" fillId="7" borderId="30" xfId="0" applyNumberFormat="1" applyFont="1" applyFill="1" applyBorder="1" applyAlignment="1">
      <alignment horizontal="center"/>
    </xf>
    <xf numFmtId="2" fontId="148" fillId="2" borderId="30" xfId="0" applyNumberFormat="1" applyFont="1" applyFill="1" applyBorder="1" applyAlignment="1">
      <alignment horizontal="center"/>
    </xf>
    <xf numFmtId="1" fontId="33" fillId="7" borderId="30" xfId="1" applyNumberFormat="1" applyFont="1" applyFill="1" applyBorder="1" applyAlignment="1">
      <alignment horizontal="center"/>
    </xf>
    <xf numFmtId="2" fontId="33" fillId="7" borderId="30" xfId="1" applyNumberFormat="1" applyFont="1" applyFill="1" applyBorder="1"/>
    <xf numFmtId="2" fontId="19" fillId="7" borderId="30" xfId="1" applyNumberFormat="1" applyFont="1" applyFill="1" applyBorder="1"/>
    <xf numFmtId="0" fontId="20" fillId="7" borderId="30" xfId="1" applyFont="1" applyFill="1" applyBorder="1"/>
    <xf numFmtId="2" fontId="33" fillId="7" borderId="30" xfId="1" applyNumberFormat="1" applyFont="1" applyFill="1" applyBorder="1" applyAlignment="1">
      <alignment horizontal="left"/>
    </xf>
    <xf numFmtId="0" fontId="20" fillId="7" borderId="30" xfId="1" applyFont="1" applyFill="1" applyBorder="1" applyAlignment="1">
      <alignment horizontal="center"/>
    </xf>
    <xf numFmtId="2" fontId="34" fillId="7" borderId="30" xfId="1" applyNumberFormat="1" applyFont="1" applyFill="1" applyBorder="1"/>
    <xf numFmtId="2" fontId="139" fillId="0" borderId="30" xfId="1" applyNumberFormat="1" applyFont="1" applyBorder="1" applyAlignment="1">
      <alignment horizontal="center"/>
    </xf>
    <xf numFmtId="0" fontId="48" fillId="0" borderId="30" xfId="1" applyFont="1" applyBorder="1" applyAlignment="1">
      <alignment vertical="center"/>
    </xf>
    <xf numFmtId="0" fontId="33" fillId="7" borderId="30" xfId="1" applyFont="1" applyFill="1" applyBorder="1" applyAlignment="1">
      <alignment horizontal="center"/>
    </xf>
    <xf numFmtId="1" fontId="130" fillId="7" borderId="15" xfId="1" applyNumberFormat="1" applyFont="1" applyFill="1" applyBorder="1" applyAlignment="1">
      <alignment horizontal="center"/>
    </xf>
    <xf numFmtId="0" fontId="115" fillId="7" borderId="30" xfId="1" applyFont="1" applyFill="1" applyBorder="1"/>
    <xf numFmtId="0" fontId="48" fillId="0" borderId="30" xfId="1" applyFont="1" applyBorder="1" applyAlignment="1">
      <alignment horizontal="center" vertical="center"/>
    </xf>
    <xf numFmtId="0" fontId="73" fillId="7" borderId="30" xfId="1" applyFont="1" applyFill="1" applyBorder="1" applyAlignment="1">
      <alignment wrapText="1"/>
    </xf>
    <xf numFmtId="0" fontId="73" fillId="7" borderId="30" xfId="1" applyFont="1" applyFill="1" applyBorder="1" applyAlignment="1">
      <alignment horizontal="center" vertical="center" wrapText="1"/>
    </xf>
    <xf numFmtId="0" fontId="148" fillId="0" borderId="30" xfId="1" applyFont="1" applyBorder="1" applyAlignment="1">
      <alignment horizontal="center"/>
    </xf>
    <xf numFmtId="0" fontId="19" fillId="0" borderId="28" xfId="1" applyFont="1" applyBorder="1"/>
    <xf numFmtId="0" fontId="117" fillId="0" borderId="30" xfId="1" applyFont="1" applyBorder="1" applyAlignment="1">
      <alignment horizontal="center"/>
    </xf>
    <xf numFmtId="0" fontId="117" fillId="0" borderId="30" xfId="1" applyFont="1" applyBorder="1" applyAlignment="1">
      <alignment horizontal="center" vertical="center"/>
    </xf>
    <xf numFmtId="1" fontId="33" fillId="7" borderId="30" xfId="1" applyNumberFormat="1" applyFont="1" applyFill="1" applyBorder="1" applyAlignment="1">
      <alignment horizontal="left"/>
    </xf>
    <xf numFmtId="2" fontId="35" fillId="7" borderId="30" xfId="1" applyNumberFormat="1" applyFont="1" applyFill="1" applyBorder="1"/>
    <xf numFmtId="2" fontId="16" fillId="7" borderId="30" xfId="1" applyNumberFormat="1" applyFont="1" applyFill="1" applyBorder="1"/>
    <xf numFmtId="0" fontId="43" fillId="7" borderId="30" xfId="1" applyFont="1" applyFill="1" applyBorder="1" applyAlignment="1">
      <alignment vertical="center" wrapText="1"/>
    </xf>
    <xf numFmtId="0" fontId="37" fillId="7" borderId="30" xfId="1" applyFont="1" applyFill="1" applyBorder="1" applyAlignment="1">
      <alignment horizontal="center" wrapText="1"/>
    </xf>
    <xf numFmtId="2" fontId="58" fillId="7" borderId="30" xfId="1" applyNumberFormat="1" applyFont="1" applyFill="1" applyBorder="1"/>
    <xf numFmtId="0" fontId="73" fillId="7" borderId="30" xfId="1" applyFont="1" applyFill="1" applyBorder="1" applyAlignment="1">
      <alignment vertical="center" wrapText="1"/>
    </xf>
    <xf numFmtId="0" fontId="20" fillId="7" borderId="30" xfId="1" applyFont="1" applyFill="1" applyBorder="1" applyAlignment="1">
      <alignment horizontal="center" vertical="center" wrapText="1"/>
    </xf>
    <xf numFmtId="0" fontId="4" fillId="7" borderId="30" xfId="1" applyFont="1" applyFill="1" applyBorder="1" applyAlignment="1">
      <alignment vertical="center" wrapText="1"/>
    </xf>
    <xf numFmtId="2" fontId="97" fillId="7" borderId="30" xfId="1" applyNumberFormat="1" applyFont="1" applyFill="1" applyBorder="1"/>
    <xf numFmtId="0" fontId="107" fillId="7" borderId="30" xfId="9" applyFont="1" applyFill="1" applyBorder="1" applyAlignment="1">
      <alignment horizontal="center" vertical="center"/>
    </xf>
    <xf numFmtId="1" fontId="108" fillId="7" borderId="30" xfId="9" applyNumberFormat="1" applyFont="1" applyFill="1" applyBorder="1" applyAlignment="1">
      <alignment horizontal="center" vertical="center"/>
    </xf>
    <xf numFmtId="0" fontId="19" fillId="7" borderId="30" xfId="1" applyFont="1" applyFill="1" applyBorder="1"/>
    <xf numFmtId="0" fontId="43" fillId="0" borderId="30" xfId="9" applyFont="1" applyBorder="1" applyAlignment="1">
      <alignment horizontal="left"/>
    </xf>
    <xf numFmtId="0" fontId="37" fillId="0" borderId="30" xfId="9" applyFont="1" applyBorder="1" applyAlignment="1">
      <alignment horizontal="left" wrapText="1"/>
    </xf>
    <xf numFmtId="0" fontId="37" fillId="0" borderId="30" xfId="9" applyFont="1" applyBorder="1" applyAlignment="1">
      <alignment horizontal="left"/>
    </xf>
    <xf numFmtId="0" fontId="37" fillId="0" borderId="30" xfId="9" applyFont="1" applyBorder="1" applyAlignment="1">
      <alignment horizontal="left" vertical="center" wrapText="1"/>
    </xf>
    <xf numFmtId="43" fontId="124" fillId="0" borderId="30" xfId="10" applyFont="1" applyFill="1" applyBorder="1" applyAlignment="1">
      <alignment horizontal="center" vertical="center"/>
    </xf>
    <xf numFmtId="0" fontId="101" fillId="7" borderId="30" xfId="0" applyFont="1" applyFill="1" applyBorder="1"/>
    <xf numFmtId="0" fontId="100" fillId="7" borderId="30" xfId="0" applyFont="1" applyFill="1" applyBorder="1"/>
    <xf numFmtId="0" fontId="81" fillId="7" borderId="30" xfId="0" applyFont="1" applyFill="1" applyBorder="1"/>
    <xf numFmtId="170" fontId="100" fillId="7" borderId="30" xfId="0" applyNumberFormat="1" applyFont="1" applyFill="1" applyBorder="1"/>
    <xf numFmtId="0" fontId="2" fillId="0" borderId="0" xfId="0" applyFont="1"/>
    <xf numFmtId="0" fontId="78" fillId="7" borderId="30" xfId="1" applyFont="1" applyFill="1" applyBorder="1" applyAlignment="1">
      <alignment wrapText="1"/>
    </xf>
    <xf numFmtId="0" fontId="3" fillId="7" borderId="30" xfId="1" applyFill="1" applyBorder="1"/>
    <xf numFmtId="0" fontId="40" fillId="7" borderId="30" xfId="1" applyFont="1" applyFill="1" applyBorder="1"/>
    <xf numFmtId="0" fontId="10" fillId="7" borderId="30" xfId="1" applyFont="1" applyFill="1" applyBorder="1"/>
    <xf numFmtId="167" fontId="20" fillId="7" borderId="30" xfId="1" applyNumberFormat="1" applyFont="1" applyFill="1" applyBorder="1"/>
    <xf numFmtId="0" fontId="78" fillId="7" borderId="30" xfId="1" applyFont="1" applyFill="1" applyBorder="1"/>
    <xf numFmtId="0" fontId="43" fillId="0" borderId="0" xfId="1" applyFont="1"/>
    <xf numFmtId="2" fontId="127" fillId="0" borderId="30" xfId="1" applyNumberFormat="1" applyFont="1" applyBorder="1" applyAlignment="1">
      <alignment horizontal="left" vertical="center" wrapText="1"/>
    </xf>
    <xf numFmtId="2" fontId="37" fillId="0" borderId="30" xfId="1" applyNumberFormat="1" applyFont="1" applyBorder="1" applyAlignment="1">
      <alignment horizontal="left" vertical="center" wrapText="1"/>
    </xf>
    <xf numFmtId="166" fontId="139" fillId="0" borderId="0" xfId="2" applyNumberFormat="1" applyFont="1" applyBorder="1" applyAlignment="1">
      <alignment horizontal="left"/>
    </xf>
    <xf numFmtId="0" fontId="73" fillId="2" borderId="30" xfId="1" applyFont="1" applyFill="1" applyBorder="1" applyAlignment="1">
      <alignment vertical="center" wrapText="1"/>
    </xf>
    <xf numFmtId="0" fontId="33" fillId="10" borderId="19" xfId="1" applyFont="1" applyFill="1" applyBorder="1" applyAlignment="1">
      <alignment horizontal="center" vertical="center" wrapText="1"/>
    </xf>
    <xf numFmtId="1" fontId="31" fillId="2" borderId="15" xfId="1" applyNumberFormat="1" applyFont="1" applyFill="1" applyBorder="1" applyAlignment="1">
      <alignment horizontal="left" vertical="center"/>
    </xf>
    <xf numFmtId="1" fontId="33" fillId="7" borderId="15" xfId="1" applyNumberFormat="1" applyFont="1" applyFill="1" applyBorder="1" applyAlignment="1">
      <alignment horizontal="right" vertical="center"/>
    </xf>
    <xf numFmtId="2" fontId="19" fillId="7" borderId="30" xfId="1" applyNumberFormat="1" applyFont="1" applyFill="1" applyBorder="1" applyAlignment="1">
      <alignment vertical="center"/>
    </xf>
    <xf numFmtId="0" fontId="20" fillId="7" borderId="33" xfId="1" applyFont="1" applyFill="1" applyBorder="1"/>
    <xf numFmtId="0" fontId="20" fillId="7" borderId="30" xfId="1" applyFont="1" applyFill="1" applyBorder="1" applyAlignment="1">
      <alignment vertical="center" wrapText="1"/>
    </xf>
    <xf numFmtId="2" fontId="20" fillId="7" borderId="30" xfId="1" applyNumberFormat="1" applyFont="1" applyFill="1" applyBorder="1" applyAlignment="1">
      <alignment vertical="center"/>
    </xf>
    <xf numFmtId="0" fontId="37" fillId="2" borderId="30" xfId="1" applyFont="1" applyFill="1" applyBorder="1" applyAlignment="1">
      <alignment vertical="center" wrapText="1"/>
    </xf>
    <xf numFmtId="0" fontId="37" fillId="2" borderId="30" xfId="1" applyFont="1" applyFill="1" applyBorder="1" applyAlignment="1">
      <alignment horizontal="left" vertical="center" wrapText="1"/>
    </xf>
    <xf numFmtId="0" fontId="43" fillId="0" borderId="26" xfId="1" applyFont="1" applyBorder="1" applyAlignment="1">
      <alignment vertical="center" wrapText="1"/>
    </xf>
    <xf numFmtId="2" fontId="20" fillId="0" borderId="26" xfId="1" applyNumberFormat="1" applyFont="1" applyBorder="1"/>
    <xf numFmtId="2" fontId="20" fillId="2" borderId="26" xfId="1" applyNumberFormat="1" applyFont="1" applyFill="1" applyBorder="1" applyAlignment="1">
      <alignment vertical="center"/>
    </xf>
    <xf numFmtId="2" fontId="136" fillId="10" borderId="19" xfId="1" applyNumberFormat="1" applyFont="1" applyFill="1" applyBorder="1" applyAlignment="1">
      <alignment horizontal="center" vertical="center" wrapText="1"/>
    </xf>
    <xf numFmtId="0" fontId="33" fillId="7" borderId="33" xfId="1" applyFont="1" applyFill="1" applyBorder="1"/>
    <xf numFmtId="2" fontId="140" fillId="0" borderId="28" xfId="7" applyNumberFormat="1" applyFont="1" applyBorder="1" applyAlignment="1">
      <alignment horizontal="right" vertical="center"/>
    </xf>
    <xf numFmtId="2" fontId="140" fillId="0" borderId="30" xfId="7" applyNumberFormat="1" applyFont="1" applyBorder="1" applyAlignment="1">
      <alignment horizontal="right" vertical="center"/>
    </xf>
    <xf numFmtId="2" fontId="140" fillId="0" borderId="30" xfId="7" applyNumberFormat="1" applyFont="1" applyBorder="1" applyAlignment="1">
      <alignment horizontal="center" vertical="center"/>
    </xf>
    <xf numFmtId="2" fontId="140" fillId="0" borderId="26" xfId="7" applyNumberFormat="1" applyFont="1" applyBorder="1" applyAlignment="1">
      <alignment horizontal="center" vertical="center"/>
    </xf>
    <xf numFmtId="2" fontId="140" fillId="0" borderId="26" xfId="7" applyNumberFormat="1" applyFont="1" applyBorder="1" applyAlignment="1">
      <alignment horizontal="right" vertical="center"/>
    </xf>
    <xf numFmtId="0" fontId="73" fillId="10" borderId="51" xfId="1" applyFont="1" applyFill="1" applyBorder="1" applyAlignment="1">
      <alignment horizontal="center" vertical="center"/>
    </xf>
    <xf numFmtId="0" fontId="130" fillId="10" borderId="52" xfId="1" applyFont="1" applyFill="1" applyBorder="1" applyAlignment="1">
      <alignment horizontal="center" vertical="center"/>
    </xf>
    <xf numFmtId="0" fontId="95" fillId="10" borderId="39" xfId="0" applyFont="1" applyFill="1" applyBorder="1" applyAlignment="1">
      <alignment vertical="center"/>
    </xf>
    <xf numFmtId="0" fontId="130" fillId="10" borderId="38" xfId="1" applyFont="1" applyFill="1" applyBorder="1" applyAlignment="1">
      <alignment horizontal="center" vertical="center"/>
    </xf>
    <xf numFmtId="2" fontId="127" fillId="2" borderId="30" xfId="1" applyNumberFormat="1" applyFont="1" applyFill="1" applyBorder="1" applyAlignment="1">
      <alignment horizontal="center" vertical="center"/>
    </xf>
    <xf numFmtId="2" fontId="127" fillId="0" borderId="30" xfId="1" applyNumberFormat="1" applyFont="1" applyBorder="1" applyAlignment="1">
      <alignment horizontal="center" vertical="center"/>
    </xf>
    <xf numFmtId="2" fontId="127" fillId="2" borderId="26" xfId="1" applyNumberFormat="1" applyFont="1" applyFill="1" applyBorder="1" applyAlignment="1">
      <alignment horizontal="center" vertical="center"/>
    </xf>
    <xf numFmtId="2" fontId="127" fillId="2" borderId="30" xfId="1" applyNumberFormat="1" applyFont="1" applyFill="1" applyBorder="1" applyAlignment="1">
      <alignment vertical="center"/>
    </xf>
    <xf numFmtId="2" fontId="20" fillId="11" borderId="30" xfId="1" applyNumberFormat="1" applyFont="1" applyFill="1" applyBorder="1" applyAlignment="1">
      <alignment vertical="center"/>
    </xf>
    <xf numFmtId="2" fontId="20" fillId="9" borderId="30" xfId="1" applyNumberFormat="1" applyFont="1" applyFill="1" applyBorder="1" applyAlignment="1">
      <alignment horizontal="center" vertical="center" wrapText="1"/>
    </xf>
    <xf numFmtId="2" fontId="33" fillId="0" borderId="30" xfId="1" applyNumberFormat="1" applyFont="1" applyBorder="1" applyAlignment="1">
      <alignment horizontal="center" vertical="center" wrapText="1"/>
    </xf>
    <xf numFmtId="2" fontId="33" fillId="2" borderId="30" xfId="1" applyNumberFormat="1" applyFont="1" applyFill="1" applyBorder="1" applyAlignment="1">
      <alignment horizontal="center" vertical="center" wrapText="1"/>
    </xf>
    <xf numFmtId="2" fontId="20" fillId="0" borderId="30" xfId="1" applyNumberFormat="1" applyFont="1" applyBorder="1" applyAlignment="1">
      <alignment horizontal="center" vertical="center" wrapText="1"/>
    </xf>
    <xf numFmtId="2" fontId="20" fillId="2" borderId="30" xfId="1" applyNumberFormat="1" applyFont="1" applyFill="1" applyBorder="1" applyAlignment="1">
      <alignment vertical="center" wrapText="1"/>
    </xf>
    <xf numFmtId="2" fontId="33" fillId="2" borderId="30" xfId="1" applyNumberFormat="1" applyFont="1" applyFill="1" applyBorder="1" applyAlignment="1">
      <alignment vertical="center" wrapText="1"/>
    </xf>
    <xf numFmtId="2" fontId="20" fillId="9" borderId="30" xfId="1" applyNumberFormat="1" applyFont="1" applyFill="1" applyBorder="1" applyAlignment="1">
      <alignment vertical="center" wrapText="1"/>
    </xf>
    <xf numFmtId="2" fontId="33" fillId="9" borderId="30" xfId="1" applyNumberFormat="1" applyFont="1" applyFill="1" applyBorder="1" applyAlignment="1">
      <alignment horizontal="center" vertical="center" wrapText="1"/>
    </xf>
    <xf numFmtId="2" fontId="33" fillId="9" borderId="30" xfId="1" applyNumberFormat="1" applyFont="1" applyFill="1" applyBorder="1" applyAlignment="1">
      <alignment vertical="center" wrapText="1"/>
    </xf>
    <xf numFmtId="2" fontId="33" fillId="0" borderId="30" xfId="1" applyNumberFormat="1" applyFont="1" applyBorder="1" applyAlignment="1">
      <alignment vertical="center"/>
    </xf>
    <xf numFmtId="2" fontId="16" fillId="7" borderId="30" xfId="1" applyNumberFormat="1" applyFont="1" applyFill="1" applyBorder="1" applyAlignment="1">
      <alignment horizontal="left"/>
    </xf>
    <xf numFmtId="2" fontId="20" fillId="7" borderId="30" xfId="1" applyNumberFormat="1" applyFont="1" applyFill="1" applyBorder="1" applyAlignment="1">
      <alignment horizontal="center"/>
    </xf>
    <xf numFmtId="2" fontId="20" fillId="7" borderId="30" xfId="1" applyNumberFormat="1" applyFont="1" applyFill="1" applyBorder="1" applyAlignment="1">
      <alignment horizontal="right"/>
    </xf>
    <xf numFmtId="2" fontId="20" fillId="7" borderId="30" xfId="1" applyNumberFormat="1" applyFont="1" applyFill="1" applyBorder="1"/>
    <xf numFmtId="0" fontId="58" fillId="7" borderId="30" xfId="1" applyFont="1" applyFill="1" applyBorder="1"/>
    <xf numFmtId="1" fontId="33" fillId="7" borderId="30" xfId="1" applyNumberFormat="1" applyFont="1" applyFill="1" applyBorder="1" applyAlignment="1">
      <alignment horizontal="left" wrapText="1"/>
    </xf>
    <xf numFmtId="9" fontId="127" fillId="0" borderId="30" xfId="1" applyNumberFormat="1" applyFont="1" applyBorder="1" applyAlignment="1">
      <alignment horizontal="center"/>
    </xf>
    <xf numFmtId="2" fontId="3" fillId="0" borderId="0" xfId="1" applyNumberFormat="1"/>
    <xf numFmtId="2" fontId="125" fillId="0" borderId="30" xfId="1" applyNumberFormat="1" applyFont="1" applyBorder="1" applyAlignment="1">
      <alignment horizontal="center"/>
    </xf>
    <xf numFmtId="2" fontId="125" fillId="0" borderId="30" xfId="1" applyNumberFormat="1" applyFont="1" applyBorder="1" applyProtection="1">
      <protection locked="0"/>
    </xf>
    <xf numFmtId="2" fontId="127" fillId="0" borderId="30" xfId="1" applyNumberFormat="1" applyFont="1" applyBorder="1"/>
    <xf numFmtId="2" fontId="73" fillId="7" borderId="30" xfId="1" applyNumberFormat="1" applyFont="1" applyFill="1" applyBorder="1"/>
    <xf numFmtId="2" fontId="36" fillId="7" borderId="30" xfId="1" applyNumberFormat="1" applyFont="1" applyFill="1" applyBorder="1"/>
    <xf numFmtId="2" fontId="125" fillId="7" borderId="30" xfId="1" applyNumberFormat="1" applyFont="1" applyFill="1" applyBorder="1" applyAlignment="1">
      <alignment horizontal="center"/>
    </xf>
    <xf numFmtId="2" fontId="40" fillId="7" borderId="30" xfId="1" applyNumberFormat="1" applyFont="1" applyFill="1" applyBorder="1" applyProtection="1">
      <protection locked="0"/>
    </xf>
    <xf numFmtId="2" fontId="125" fillId="7" borderId="30" xfId="1" applyNumberFormat="1" applyFont="1" applyFill="1" applyBorder="1" applyProtection="1">
      <protection locked="0"/>
    </xf>
    <xf numFmtId="2" fontId="127" fillId="7" borderId="30" xfId="1" applyNumberFormat="1" applyFont="1" applyFill="1" applyBorder="1"/>
    <xf numFmtId="2" fontId="48" fillId="7" borderId="30" xfId="1" applyNumberFormat="1" applyFont="1" applyFill="1" applyBorder="1"/>
    <xf numFmtId="10" fontId="37" fillId="7" borderId="30" xfId="1" applyNumberFormat="1" applyFont="1" applyFill="1" applyBorder="1"/>
    <xf numFmtId="2" fontId="36" fillId="7" borderId="30" xfId="1" applyNumberFormat="1" applyFont="1" applyFill="1" applyBorder="1" applyAlignment="1">
      <alignment horizontal="left" vertical="center"/>
    </xf>
    <xf numFmtId="43" fontId="81" fillId="10" borderId="30" xfId="8" applyFont="1" applyFill="1" applyBorder="1" applyAlignment="1">
      <alignment vertical="center" wrapText="1"/>
    </xf>
    <xf numFmtId="43" fontId="126" fillId="0" borderId="30" xfId="0" applyNumberFormat="1" applyFont="1" applyBorder="1" applyAlignment="1">
      <alignment vertical="center"/>
    </xf>
    <xf numFmtId="0" fontId="126" fillId="0" borderId="30" xfId="0" applyFont="1" applyBorder="1" applyAlignment="1">
      <alignment vertical="center"/>
    </xf>
    <xf numFmtId="43" fontId="131" fillId="7" borderId="30" xfId="8" applyFont="1" applyFill="1" applyBorder="1" applyAlignment="1">
      <alignment horizontal="center" vertical="center" wrapText="1"/>
    </xf>
    <xf numFmtId="43" fontId="115" fillId="7" borderId="30" xfId="8" applyFont="1" applyFill="1" applyBorder="1" applyAlignment="1">
      <alignment vertical="center" wrapText="1"/>
    </xf>
    <xf numFmtId="2" fontId="126" fillId="2" borderId="30" xfId="0" applyNumberFormat="1" applyFont="1" applyFill="1" applyBorder="1" applyAlignment="1">
      <alignment horizontal="center" vertical="center" wrapText="1"/>
    </xf>
    <xf numFmtId="0" fontId="126" fillId="2" borderId="30" xfId="0" applyFont="1" applyFill="1" applyBorder="1" applyAlignment="1">
      <alignment horizontal="center" vertical="center" wrapText="1"/>
    </xf>
    <xf numFmtId="43" fontId="126" fillId="0" borderId="30" xfId="0" applyNumberFormat="1" applyFont="1" applyBorder="1" applyAlignment="1">
      <alignment horizontal="center" vertical="center"/>
    </xf>
    <xf numFmtId="0" fontId="126" fillId="0" borderId="30" xfId="0" applyFont="1" applyBorder="1" applyAlignment="1">
      <alignment horizontal="center" vertical="center"/>
    </xf>
    <xf numFmtId="2" fontId="126" fillId="0" borderId="30" xfId="0" applyNumberFormat="1" applyFont="1" applyBorder="1" applyAlignment="1">
      <alignment horizontal="center" vertical="center"/>
    </xf>
    <xf numFmtId="0" fontId="34" fillId="8" borderId="38" xfId="1" applyFont="1" applyFill="1" applyBorder="1" applyAlignment="1">
      <alignment horizontal="center" vertical="center" wrapText="1"/>
    </xf>
    <xf numFmtId="0" fontId="25" fillId="8" borderId="38" xfId="1" applyFont="1" applyFill="1" applyBorder="1" applyAlignment="1">
      <alignment horizontal="center" vertical="center" wrapText="1"/>
    </xf>
    <xf numFmtId="2" fontId="16" fillId="8" borderId="10" xfId="1" applyNumberFormat="1" applyFont="1" applyFill="1" applyBorder="1" applyAlignment="1">
      <alignment horizontal="center" vertical="center" wrapText="1"/>
    </xf>
    <xf numFmtId="2" fontId="16" fillId="8" borderId="19" xfId="1" applyNumberFormat="1" applyFont="1" applyFill="1" applyBorder="1" applyAlignment="1">
      <alignment horizontal="center" vertical="center" wrapText="1"/>
    </xf>
    <xf numFmtId="2" fontId="136" fillId="8" borderId="19" xfId="1" applyNumberFormat="1" applyFont="1" applyFill="1" applyBorder="1" applyAlignment="1">
      <alignment horizontal="center" vertical="center" wrapText="1"/>
    </xf>
    <xf numFmtId="1" fontId="33" fillId="9" borderId="25" xfId="1" applyNumberFormat="1" applyFont="1" applyFill="1" applyBorder="1" applyAlignment="1">
      <alignment horizontal="center"/>
    </xf>
    <xf numFmtId="0" fontId="127" fillId="9" borderId="26" xfId="1" applyFont="1" applyFill="1" applyBorder="1" applyAlignment="1">
      <alignment horizontal="center"/>
    </xf>
    <xf numFmtId="0" fontId="37" fillId="9" borderId="26" xfId="1" applyFont="1" applyFill="1" applyBorder="1" applyAlignment="1">
      <alignment horizontal="center"/>
    </xf>
    <xf numFmtId="0" fontId="44" fillId="9" borderId="26" xfId="1" applyFont="1" applyFill="1" applyBorder="1"/>
    <xf numFmtId="2" fontId="19" fillId="9" borderId="17" xfId="1" applyNumberFormat="1" applyFont="1" applyFill="1" applyBorder="1"/>
    <xf numFmtId="2" fontId="19" fillId="9" borderId="47" xfId="1" applyNumberFormat="1" applyFont="1" applyFill="1" applyBorder="1"/>
    <xf numFmtId="166" fontId="23" fillId="9" borderId="31" xfId="2" applyNumberFormat="1" applyFont="1" applyFill="1" applyBorder="1" applyAlignment="1">
      <alignment horizontal="center"/>
    </xf>
    <xf numFmtId="0" fontId="48" fillId="0" borderId="26" xfId="1" applyFont="1" applyBorder="1" applyAlignment="1">
      <alignment vertical="center" wrapText="1"/>
    </xf>
    <xf numFmtId="2" fontId="148" fillId="2" borderId="30" xfId="1" applyNumberFormat="1" applyFont="1" applyFill="1" applyBorder="1" applyAlignment="1">
      <alignment horizontal="center" vertical="center" wrapText="1"/>
    </xf>
    <xf numFmtId="0" fontId="126" fillId="0" borderId="30" xfId="0" applyFont="1" applyBorder="1" applyAlignment="1">
      <alignment horizontal="center"/>
    </xf>
    <xf numFmtId="170" fontId="126" fillId="0" borderId="30" xfId="0" applyNumberFormat="1" applyFont="1" applyBorder="1"/>
    <xf numFmtId="170" fontId="131" fillId="7" borderId="30" xfId="0" applyNumberFormat="1" applyFont="1" applyFill="1" applyBorder="1"/>
    <xf numFmtId="0" fontId="131" fillId="7" borderId="30" xfId="0" applyFont="1" applyFill="1" applyBorder="1"/>
    <xf numFmtId="170" fontId="126" fillId="7" borderId="30" xfId="0" applyNumberFormat="1" applyFont="1" applyFill="1" applyBorder="1"/>
    <xf numFmtId="170" fontId="152" fillId="0" borderId="30" xfId="0" applyNumberFormat="1" applyFont="1" applyBorder="1" applyAlignment="1">
      <alignment horizontal="center" vertical="center"/>
    </xf>
    <xf numFmtId="170" fontId="126" fillId="2" borderId="30" xfId="0" applyNumberFormat="1" applyFont="1" applyFill="1" applyBorder="1"/>
    <xf numFmtId="170" fontId="126" fillId="0" borderId="30" xfId="0" applyNumberFormat="1" applyFont="1" applyBorder="1" applyAlignment="1">
      <alignment vertical="top"/>
    </xf>
    <xf numFmtId="0" fontId="81" fillId="7" borderId="30" xfId="0" applyFont="1" applyFill="1" applyBorder="1" applyAlignment="1">
      <alignment horizontal="left" vertical="center" wrapText="1"/>
    </xf>
    <xf numFmtId="0" fontId="77" fillId="0" borderId="30" xfId="0" applyFont="1" applyBorder="1" applyAlignment="1">
      <alignment horizontal="center" vertical="center"/>
    </xf>
    <xf numFmtId="0" fontId="81" fillId="7" borderId="30" xfId="0" applyFont="1" applyFill="1" applyBorder="1" applyAlignment="1">
      <alignment vertical="center"/>
    </xf>
    <xf numFmtId="0" fontId="77" fillId="0" borderId="30" xfId="0" applyFont="1" applyBorder="1" applyAlignment="1">
      <alignment vertical="center"/>
    </xf>
    <xf numFmtId="0" fontId="77" fillId="7" borderId="30" xfId="0" applyFont="1" applyFill="1" applyBorder="1" applyAlignment="1">
      <alignment vertical="center"/>
    </xf>
    <xf numFmtId="0" fontId="115" fillId="7" borderId="30" xfId="0" applyFont="1" applyFill="1" applyBorder="1" applyAlignment="1">
      <alignment vertical="center"/>
    </xf>
    <xf numFmtId="0" fontId="141" fillId="0" borderId="30" xfId="0" applyFont="1" applyBorder="1" applyAlignment="1">
      <alignment horizontal="center" vertical="center"/>
    </xf>
    <xf numFmtId="0" fontId="127" fillId="0" borderId="0" xfId="1" applyFont="1" applyAlignment="1">
      <alignment vertical="center"/>
    </xf>
    <xf numFmtId="43" fontId="152" fillId="0" borderId="30" xfId="0" applyNumberFormat="1" applyFont="1" applyBorder="1" applyAlignment="1">
      <alignment horizontal="center" vertical="center"/>
    </xf>
    <xf numFmtId="43" fontId="131" fillId="10" borderId="30" xfId="8" applyFont="1" applyFill="1" applyBorder="1" applyAlignment="1">
      <alignment horizontal="center" vertical="center" wrapText="1"/>
    </xf>
    <xf numFmtId="0" fontId="115" fillId="12" borderId="30" xfId="0" applyFont="1" applyFill="1" applyBorder="1" applyAlignment="1">
      <alignment horizontal="left" vertical="center" wrapText="1"/>
    </xf>
    <xf numFmtId="0" fontId="115" fillId="12" borderId="30" xfId="0" applyFont="1" applyFill="1" applyBorder="1"/>
    <xf numFmtId="0" fontId="131" fillId="12" borderId="30" xfId="0" applyFont="1" applyFill="1" applyBorder="1" applyAlignment="1">
      <alignment horizontal="center" vertical="center"/>
    </xf>
    <xf numFmtId="0" fontId="131" fillId="12" borderId="30" xfId="0" applyFont="1" applyFill="1" applyBorder="1" applyAlignment="1">
      <alignment horizontal="center" vertical="center" wrapText="1"/>
    </xf>
    <xf numFmtId="2" fontId="131" fillId="12" borderId="30" xfId="0" applyNumberFormat="1" applyFont="1" applyFill="1" applyBorder="1" applyAlignment="1">
      <alignment horizontal="center" vertical="center"/>
    </xf>
    <xf numFmtId="0" fontId="115" fillId="12" borderId="30" xfId="0" applyFont="1" applyFill="1" applyBorder="1" applyAlignment="1">
      <alignment vertical="center" wrapText="1"/>
    </xf>
    <xf numFmtId="43" fontId="115" fillId="12" borderId="30" xfId="8" applyFont="1" applyFill="1" applyBorder="1" applyAlignment="1">
      <alignment vertical="center" wrapText="1"/>
    </xf>
    <xf numFmtId="43" fontId="131" fillId="12" borderId="30" xfId="0" applyNumberFormat="1" applyFont="1" applyFill="1" applyBorder="1" applyAlignment="1">
      <alignment horizontal="center" vertical="center"/>
    </xf>
    <xf numFmtId="0" fontId="115" fillId="12" borderId="30" xfId="0" applyFont="1" applyFill="1" applyBorder="1" applyAlignment="1">
      <alignment horizontal="center" vertical="center" wrapText="1"/>
    </xf>
    <xf numFmtId="0" fontId="115" fillId="12" borderId="30" xfId="0" applyFont="1" applyFill="1" applyBorder="1" applyAlignment="1">
      <alignment horizontal="center" vertical="center"/>
    </xf>
    <xf numFmtId="43" fontId="154" fillId="12" borderId="30" xfId="0" applyNumberFormat="1" applyFont="1" applyFill="1" applyBorder="1" applyAlignment="1">
      <alignment horizontal="center" vertical="center"/>
    </xf>
    <xf numFmtId="43" fontId="126" fillId="12" borderId="30" xfId="0" applyNumberFormat="1" applyFont="1" applyFill="1" applyBorder="1" applyAlignment="1">
      <alignment horizontal="center" vertical="center"/>
    </xf>
    <xf numFmtId="0" fontId="126" fillId="12" borderId="30" xfId="0" applyFont="1" applyFill="1" applyBorder="1" applyAlignment="1">
      <alignment horizontal="center" vertical="center"/>
    </xf>
    <xf numFmtId="2" fontId="126" fillId="12" borderId="30" xfId="0" applyNumberFormat="1" applyFont="1" applyFill="1" applyBorder="1" applyAlignment="1">
      <alignment horizontal="center" vertical="center"/>
    </xf>
    <xf numFmtId="0" fontId="73" fillId="12" borderId="30" xfId="0" applyFont="1" applyFill="1" applyBorder="1" applyAlignment="1">
      <alignment vertical="center" wrapText="1"/>
    </xf>
    <xf numFmtId="0" fontId="96" fillId="12" borderId="30" xfId="0" applyFont="1" applyFill="1" applyBorder="1" applyAlignment="1">
      <alignment horizontal="center" vertical="center"/>
    </xf>
    <xf numFmtId="43" fontId="131" fillId="12" borderId="30" xfId="8" applyFont="1" applyFill="1" applyBorder="1" applyAlignment="1">
      <alignment horizontal="center" vertical="center" wrapText="1"/>
    </xf>
    <xf numFmtId="43" fontId="98" fillId="12" borderId="30" xfId="8" applyFont="1" applyFill="1" applyBorder="1" applyAlignment="1">
      <alignment vertical="center" wrapText="1"/>
    </xf>
    <xf numFmtId="0" fontId="124" fillId="0" borderId="30" xfId="1" applyFont="1" applyBorder="1" applyAlignment="1">
      <alignment vertical="center" wrapText="1"/>
    </xf>
    <xf numFmtId="0" fontId="124" fillId="0" borderId="30" xfId="1" applyFont="1" applyBorder="1" applyAlignment="1">
      <alignment horizontal="center" vertical="center" wrapText="1"/>
    </xf>
    <xf numFmtId="0" fontId="124" fillId="8" borderId="30" xfId="1" applyFont="1" applyFill="1" applyBorder="1" applyAlignment="1">
      <alignment horizontal="center" vertical="center" wrapText="1"/>
    </xf>
    <xf numFmtId="0" fontId="124" fillId="9" borderId="30" xfId="1" applyFont="1" applyFill="1" applyBorder="1" applyAlignment="1">
      <alignment horizontal="center" vertical="center" wrapText="1"/>
    </xf>
    <xf numFmtId="0" fontId="136" fillId="9" borderId="30" xfId="1" applyFont="1" applyFill="1" applyBorder="1" applyAlignment="1">
      <alignment horizontal="center" vertical="center" wrapText="1"/>
    </xf>
    <xf numFmtId="0" fontId="52" fillId="7" borderId="30" xfId="1" applyFont="1" applyFill="1" applyBorder="1" applyAlignment="1">
      <alignment horizontal="center" vertical="center"/>
    </xf>
    <xf numFmtId="2" fontId="53" fillId="7" borderId="30" xfId="1" applyNumberFormat="1" applyFont="1" applyFill="1" applyBorder="1" applyAlignment="1">
      <alignment vertical="center"/>
    </xf>
    <xf numFmtId="2" fontId="54" fillId="7" borderId="30" xfId="1" applyNumberFormat="1" applyFont="1" applyFill="1" applyBorder="1" applyAlignment="1">
      <alignment vertical="center"/>
    </xf>
    <xf numFmtId="2" fontId="19" fillId="7" borderId="16" xfId="1" applyNumberFormat="1" applyFont="1" applyFill="1" applyBorder="1"/>
    <xf numFmtId="2" fontId="19" fillId="7" borderId="16" xfId="1" applyNumberFormat="1" applyFont="1" applyFill="1" applyBorder="1" applyAlignment="1">
      <alignment vertical="center"/>
    </xf>
    <xf numFmtId="2" fontId="19" fillId="7" borderId="13" xfId="1" applyNumberFormat="1" applyFont="1" applyFill="1" applyBorder="1"/>
    <xf numFmtId="166" fontId="23" fillId="7" borderId="33" xfId="2" applyNumberFormat="1" applyFont="1" applyFill="1" applyBorder="1" applyAlignment="1">
      <alignment horizontal="center"/>
    </xf>
    <xf numFmtId="0" fontId="37" fillId="7" borderId="30" xfId="1" applyFont="1" applyFill="1" applyBorder="1" applyAlignment="1">
      <alignment horizontal="center"/>
    </xf>
    <xf numFmtId="0" fontId="44" fillId="7" borderId="30" xfId="1" applyFont="1" applyFill="1" applyBorder="1"/>
    <xf numFmtId="1" fontId="33" fillId="7" borderId="15" xfId="1" applyNumberFormat="1" applyFont="1" applyFill="1" applyBorder="1" applyAlignment="1">
      <alignment horizontal="center"/>
    </xf>
    <xf numFmtId="1" fontId="50" fillId="7" borderId="30" xfId="1" applyNumberFormat="1" applyFont="1" applyFill="1" applyBorder="1" applyAlignment="1">
      <alignment horizontal="left" vertical="center"/>
    </xf>
    <xf numFmtId="2" fontId="78" fillId="7" borderId="30" xfId="1" applyNumberFormat="1" applyFont="1" applyFill="1" applyBorder="1" applyAlignment="1">
      <alignment horizontal="left"/>
    </xf>
    <xf numFmtId="2" fontId="16" fillId="7" borderId="16" xfId="1" applyNumberFormat="1" applyFont="1" applyFill="1" applyBorder="1"/>
    <xf numFmtId="0" fontId="81" fillId="7" borderId="30" xfId="1" applyFont="1" applyFill="1" applyBorder="1" applyAlignment="1">
      <alignment vertical="center" wrapText="1"/>
    </xf>
    <xf numFmtId="2" fontId="16" fillId="7" borderId="16" xfId="1" applyNumberFormat="1" applyFont="1" applyFill="1" applyBorder="1" applyAlignment="1">
      <alignment vertical="center"/>
    </xf>
    <xf numFmtId="2" fontId="16" fillId="7" borderId="13" xfId="1" applyNumberFormat="1" applyFont="1" applyFill="1" applyBorder="1"/>
    <xf numFmtId="166" fontId="137" fillId="7" borderId="33" xfId="2" applyNumberFormat="1" applyFont="1" applyFill="1" applyBorder="1" applyAlignment="1">
      <alignment horizontal="center"/>
    </xf>
    <xf numFmtId="0" fontId="3" fillId="6" borderId="30" xfId="1" applyFill="1" applyBorder="1" applyAlignment="1">
      <alignment vertical="center"/>
    </xf>
    <xf numFmtId="0" fontId="82" fillId="10" borderId="30" xfId="5" applyFont="1" applyFill="1" applyBorder="1" applyAlignment="1">
      <alignment horizontal="center" vertical="center"/>
    </xf>
    <xf numFmtId="0" fontId="114" fillId="10" borderId="30" xfId="5" applyFont="1" applyFill="1" applyBorder="1" applyAlignment="1">
      <alignment horizontal="center" vertical="center"/>
    </xf>
    <xf numFmtId="0" fontId="83" fillId="2" borderId="26" xfId="5" applyFont="1" applyFill="1" applyBorder="1" applyAlignment="1">
      <alignment vertical="center"/>
    </xf>
    <xf numFmtId="0" fontId="83" fillId="2" borderId="30" xfId="5" applyFont="1" applyFill="1" applyBorder="1" applyAlignment="1">
      <alignment vertical="center"/>
    </xf>
    <xf numFmtId="0" fontId="83" fillId="2" borderId="15" xfId="5" applyFont="1" applyFill="1" applyBorder="1" applyAlignment="1">
      <alignment vertical="center"/>
    </xf>
    <xf numFmtId="0" fontId="83" fillId="2" borderId="25" xfId="5" applyFont="1" applyFill="1" applyBorder="1" applyAlignment="1">
      <alignment horizontal="left" vertical="center" wrapText="1"/>
    </xf>
    <xf numFmtId="2" fontId="156" fillId="0" borderId="30" xfId="0" applyNumberFormat="1" applyFont="1" applyBorder="1"/>
    <xf numFmtId="0" fontId="43" fillId="12" borderId="30" xfId="1" applyFont="1" applyFill="1" applyBorder="1" applyAlignment="1">
      <alignment vertical="center" wrapText="1"/>
    </xf>
    <xf numFmtId="0" fontId="20" fillId="12" borderId="30" xfId="1" applyFont="1" applyFill="1" applyBorder="1" applyAlignment="1">
      <alignment horizontal="center"/>
    </xf>
    <xf numFmtId="0" fontId="19" fillId="12" borderId="30" xfId="1" applyFont="1" applyFill="1" applyBorder="1"/>
    <xf numFmtId="0" fontId="20" fillId="12" borderId="30" xfId="1" applyFont="1" applyFill="1" applyBorder="1"/>
    <xf numFmtId="2" fontId="20" fillId="12" borderId="30" xfId="1" applyNumberFormat="1" applyFont="1" applyFill="1" applyBorder="1"/>
    <xf numFmtId="0" fontId="43" fillId="12" borderId="30" xfId="9" applyFont="1" applyFill="1" applyBorder="1" applyAlignment="1">
      <alignment horizontal="left"/>
    </xf>
    <xf numFmtId="43" fontId="18" fillId="12" borderId="30" xfId="10" applyFont="1" applyFill="1" applyBorder="1" applyAlignment="1">
      <alignment horizontal="center" vertical="center"/>
    </xf>
    <xf numFmtId="1" fontId="19" fillId="12" borderId="30" xfId="9" applyNumberFormat="1" applyFont="1" applyFill="1" applyBorder="1" applyAlignment="1">
      <alignment horizontal="center" vertical="center"/>
    </xf>
    <xf numFmtId="1" fontId="108" fillId="12" borderId="30" xfId="9" applyNumberFormat="1" applyFont="1" applyFill="1" applyBorder="1" applyAlignment="1">
      <alignment horizontal="center" vertical="center"/>
    </xf>
    <xf numFmtId="43" fontId="124" fillId="12" borderId="30" xfId="10" applyFont="1" applyFill="1" applyBorder="1" applyAlignment="1">
      <alignment horizontal="center" vertical="center"/>
    </xf>
    <xf numFmtId="1" fontId="43" fillId="7" borderId="30" xfId="1" applyNumberFormat="1" applyFont="1" applyFill="1" applyBorder="1" applyAlignment="1">
      <alignment horizontal="left"/>
    </xf>
    <xf numFmtId="1" fontId="37" fillId="0" borderId="30" xfId="1" applyNumberFormat="1" applyFont="1" applyBorder="1" applyAlignment="1">
      <alignment horizontal="left"/>
    </xf>
    <xf numFmtId="10" fontId="3" fillId="0" borderId="30" xfId="11" applyNumberFormat="1" applyFont="1" applyBorder="1" applyAlignment="1">
      <alignment horizontal="center" vertical="center"/>
    </xf>
    <xf numFmtId="0" fontId="3" fillId="0" borderId="30" xfId="1" applyBorder="1" applyAlignment="1">
      <alignment horizontal="center" vertical="center"/>
    </xf>
    <xf numFmtId="0" fontId="122" fillId="12" borderId="30" xfId="1" applyFont="1" applyFill="1" applyBorder="1" applyAlignment="1">
      <alignment vertical="center" wrapText="1"/>
    </xf>
    <xf numFmtId="0" fontId="132" fillId="12" borderId="30" xfId="1" applyFont="1" applyFill="1" applyBorder="1" applyAlignment="1">
      <alignment horizontal="center"/>
    </xf>
    <xf numFmtId="0" fontId="33" fillId="12" borderId="30" xfId="1" applyFont="1" applyFill="1" applyBorder="1" applyAlignment="1">
      <alignment horizontal="center"/>
    </xf>
    <xf numFmtId="0" fontId="16" fillId="12" borderId="30" xfId="1" applyFont="1" applyFill="1" applyBorder="1"/>
    <xf numFmtId="2" fontId="33" fillId="12" borderId="30" xfId="1" applyNumberFormat="1" applyFont="1" applyFill="1" applyBorder="1"/>
    <xf numFmtId="166" fontId="23" fillId="2" borderId="33" xfId="2" applyNumberFormat="1" applyFont="1" applyFill="1" applyBorder="1" applyAlignment="1">
      <alignment horizontal="center"/>
    </xf>
    <xf numFmtId="2" fontId="20" fillId="0" borderId="30" xfId="1" applyNumberFormat="1" applyFont="1" applyBorder="1" applyAlignment="1">
      <alignment horizontal="right" vertical="center"/>
    </xf>
    <xf numFmtId="0" fontId="25" fillId="10" borderId="36" xfId="1" applyFont="1" applyFill="1" applyBorder="1" applyAlignment="1">
      <alignment horizontal="center" vertical="center"/>
    </xf>
    <xf numFmtId="0" fontId="16" fillId="10" borderId="19" xfId="1" applyFont="1" applyFill="1" applyBorder="1" applyAlignment="1">
      <alignment horizontal="center" vertical="center"/>
    </xf>
    <xf numFmtId="0" fontId="16" fillId="10" borderId="18" xfId="1" applyFont="1" applyFill="1" applyBorder="1" applyAlignment="1">
      <alignment horizontal="center" vertical="center" wrapText="1"/>
    </xf>
    <xf numFmtId="0" fontId="130" fillId="10" borderId="51" xfId="1" applyFont="1" applyFill="1" applyBorder="1" applyAlignment="1">
      <alignment horizontal="center" vertical="center"/>
    </xf>
    <xf numFmtId="0" fontId="140" fillId="0" borderId="30" xfId="1" applyFont="1" applyBorder="1" applyAlignment="1">
      <alignment horizontal="center" vertical="center"/>
    </xf>
    <xf numFmtId="168" fontId="130" fillId="0" borderId="18" xfId="1" applyNumberFormat="1" applyFont="1" applyBorder="1" applyAlignment="1">
      <alignment horizontal="center" vertical="center"/>
    </xf>
    <xf numFmtId="2" fontId="127" fillId="2" borderId="19" xfId="1" applyNumberFormat="1" applyFont="1" applyFill="1" applyBorder="1" applyAlignment="1">
      <alignment vertical="center"/>
    </xf>
    <xf numFmtId="168" fontId="130" fillId="0" borderId="15" xfId="1" applyNumberFormat="1" applyFont="1" applyBorder="1" applyAlignment="1">
      <alignment horizontal="center" vertical="center"/>
    </xf>
    <xf numFmtId="0" fontId="128" fillId="10" borderId="9" xfId="1" quotePrefix="1" applyFont="1" applyFill="1" applyBorder="1" applyAlignment="1">
      <alignment horizontal="center"/>
    </xf>
    <xf numFmtId="0" fontId="128" fillId="10" borderId="10" xfId="1" applyFont="1" applyFill="1" applyBorder="1" applyAlignment="1">
      <alignment horizontal="center"/>
    </xf>
    <xf numFmtId="0" fontId="128" fillId="10" borderId="11" xfId="1" applyFont="1" applyFill="1" applyBorder="1" applyAlignment="1">
      <alignment horizontal="center"/>
    </xf>
    <xf numFmtId="0" fontId="130" fillId="0" borderId="36" xfId="1" applyFont="1" applyBorder="1" applyAlignment="1">
      <alignment horizontal="left"/>
    </xf>
    <xf numFmtId="0" fontId="130" fillId="0" borderId="13" xfId="1" applyFont="1" applyBorder="1" applyAlignment="1">
      <alignment horizontal="left"/>
    </xf>
    <xf numFmtId="0" fontId="12" fillId="0" borderId="30" xfId="9" applyFont="1" applyBorder="1" applyAlignment="1">
      <alignment horizontal="left"/>
    </xf>
    <xf numFmtId="1" fontId="136" fillId="7" borderId="30" xfId="1" applyNumberFormat="1" applyFont="1" applyFill="1" applyBorder="1" applyAlignment="1">
      <alignment horizontal="left" wrapText="1"/>
    </xf>
    <xf numFmtId="0" fontId="37" fillId="0" borderId="30" xfId="9" applyFont="1" applyBorder="1" applyAlignment="1">
      <alignment horizontal="center" vertical="center"/>
    </xf>
    <xf numFmtId="0" fontId="37" fillId="0" borderId="0" xfId="1" applyFont="1"/>
    <xf numFmtId="0" fontId="37" fillId="0" borderId="0" xfId="1" applyFont="1" applyAlignment="1">
      <alignment horizontal="left"/>
    </xf>
    <xf numFmtId="2" fontId="20" fillId="6" borderId="30" xfId="1" applyNumberFormat="1" applyFont="1" applyFill="1" applyBorder="1"/>
    <xf numFmtId="2" fontId="148" fillId="0" borderId="30" xfId="1" applyNumberFormat="1" applyFont="1" applyBorder="1" applyAlignment="1">
      <alignment horizontal="center" vertical="center"/>
    </xf>
    <xf numFmtId="0" fontId="43" fillId="12" borderId="30" xfId="9" applyFont="1" applyFill="1" applyBorder="1" applyAlignment="1">
      <alignment horizontal="left" vertical="center" wrapText="1"/>
    </xf>
    <xf numFmtId="0" fontId="43" fillId="12" borderId="30" xfId="9" applyFont="1" applyFill="1" applyBorder="1" applyAlignment="1">
      <alignment horizontal="center" vertical="center"/>
    </xf>
    <xf numFmtId="1" fontId="16" fillId="12" borderId="30" xfId="9" applyNumberFormat="1" applyFont="1" applyFill="1" applyBorder="1" applyAlignment="1">
      <alignment horizontal="center" vertical="center"/>
    </xf>
    <xf numFmtId="1" fontId="158" fillId="12" borderId="30" xfId="9" applyNumberFormat="1" applyFont="1" applyFill="1" applyBorder="1" applyAlignment="1">
      <alignment horizontal="center" vertical="center"/>
    </xf>
    <xf numFmtId="0" fontId="16" fillId="12" borderId="30" xfId="1" applyFont="1" applyFill="1" applyBorder="1" applyAlignment="1">
      <alignment vertical="center"/>
    </xf>
    <xf numFmtId="0" fontId="37" fillId="0" borderId="0" xfId="1" applyFont="1" applyAlignment="1">
      <alignment horizontal="center"/>
    </xf>
    <xf numFmtId="43" fontId="127" fillId="0" borderId="30" xfId="10" applyFont="1" applyFill="1" applyBorder="1" applyAlignment="1">
      <alignment horizontal="center" vertical="center"/>
    </xf>
    <xf numFmtId="43" fontId="124" fillId="0" borderId="30" xfId="10" applyFont="1" applyFill="1" applyBorder="1" applyAlignment="1">
      <alignment horizontal="center"/>
    </xf>
    <xf numFmtId="0" fontId="37" fillId="0" borderId="30" xfId="9" applyFont="1" applyBorder="1" applyAlignment="1">
      <alignment horizontal="center"/>
    </xf>
    <xf numFmtId="0" fontId="40" fillId="0" borderId="30" xfId="1" applyFont="1" applyBorder="1" applyAlignment="1">
      <alignment horizontal="left" vertical="center" wrapText="1" indent="11"/>
    </xf>
    <xf numFmtId="0" fontId="33" fillId="7" borderId="30" xfId="1" applyFont="1" applyFill="1" applyBorder="1" applyAlignment="1">
      <alignment horizontal="center" vertical="center"/>
    </xf>
    <xf numFmtId="0" fontId="20" fillId="7" borderId="30" xfId="1" applyFont="1" applyFill="1" applyBorder="1" applyAlignment="1">
      <alignment horizontal="center" vertical="center"/>
    </xf>
    <xf numFmtId="2" fontId="160" fillId="0" borderId="30" xfId="1" applyNumberFormat="1" applyFont="1" applyBorder="1" applyAlignment="1">
      <alignment horizontal="center" vertical="center"/>
    </xf>
    <xf numFmtId="0" fontId="161" fillId="12" borderId="30" xfId="9" applyFont="1" applyFill="1" applyBorder="1" applyAlignment="1">
      <alignment horizontal="center"/>
    </xf>
    <xf numFmtId="0" fontId="43" fillId="12" borderId="30" xfId="9" applyFont="1" applyFill="1" applyBorder="1" applyAlignment="1">
      <alignment horizontal="left" wrapText="1"/>
    </xf>
    <xf numFmtId="0" fontId="33" fillId="10" borderId="36" xfId="1" applyFont="1" applyFill="1" applyBorder="1" applyAlignment="1">
      <alignment horizontal="center" vertical="center"/>
    </xf>
    <xf numFmtId="1" fontId="20" fillId="0" borderId="15" xfId="1" applyNumberFormat="1" applyFont="1" applyBorder="1" applyAlignment="1">
      <alignment horizontal="right"/>
    </xf>
    <xf numFmtId="167" fontId="33" fillId="0" borderId="15" xfId="1" applyNumberFormat="1" applyFont="1" applyBorder="1" applyAlignment="1">
      <alignment horizontal="center"/>
    </xf>
    <xf numFmtId="0" fontId="62" fillId="7" borderId="15" xfId="1" applyFont="1" applyFill="1" applyBorder="1" applyAlignment="1">
      <alignment horizontal="center"/>
    </xf>
    <xf numFmtId="167" fontId="124" fillId="0" borderId="15" xfId="1" applyNumberFormat="1" applyFont="1" applyBorder="1" applyAlignment="1">
      <alignment horizontal="center"/>
    </xf>
    <xf numFmtId="0" fontId="106" fillId="7" borderId="15" xfId="9" applyFont="1" applyFill="1" applyBorder="1" applyAlignment="1">
      <alignment horizontal="center"/>
    </xf>
    <xf numFmtId="0" fontId="106" fillId="0" borderId="15" xfId="9" applyFont="1" applyBorder="1" applyAlignment="1">
      <alignment horizontal="center"/>
    </xf>
    <xf numFmtId="2" fontId="28" fillId="0" borderId="15" xfId="9" applyNumberFormat="1" applyFont="1" applyBorder="1" applyAlignment="1">
      <alignment horizontal="center"/>
    </xf>
    <xf numFmtId="0" fontId="106" fillId="12" borderId="15" xfId="9" applyFont="1" applyFill="1" applyBorder="1" applyAlignment="1">
      <alignment horizontal="center"/>
    </xf>
    <xf numFmtId="0" fontId="20" fillId="12" borderId="33" xfId="1" applyFont="1" applyFill="1" applyBorder="1"/>
    <xf numFmtId="2" fontId="28" fillId="0" borderId="15" xfId="9" applyNumberFormat="1" applyFont="1" applyBorder="1" applyAlignment="1">
      <alignment horizontal="center" vertical="center"/>
    </xf>
    <xf numFmtId="2" fontId="106" fillId="12" borderId="15" xfId="9" applyNumberFormat="1" applyFont="1" applyFill="1" applyBorder="1" applyAlignment="1">
      <alignment horizontal="center"/>
    </xf>
    <xf numFmtId="0" fontId="33" fillId="12" borderId="33" xfId="1" applyFont="1" applyFill="1" applyBorder="1"/>
    <xf numFmtId="0" fontId="37" fillId="0" borderId="26" xfId="9" applyFont="1" applyBorder="1" applyAlignment="1">
      <alignment horizontal="center"/>
    </xf>
    <xf numFmtId="43" fontId="124" fillId="0" borderId="26" xfId="10" applyFont="1" applyFill="1" applyBorder="1" applyAlignment="1">
      <alignment horizontal="center" vertical="center"/>
    </xf>
    <xf numFmtId="2" fontId="148" fillId="0" borderId="26" xfId="1" applyNumberFormat="1" applyFont="1" applyBorder="1" applyAlignment="1">
      <alignment horizontal="center" vertical="center"/>
    </xf>
    <xf numFmtId="0" fontId="48" fillId="2" borderId="30" xfId="0" applyFont="1" applyFill="1" applyBorder="1" applyAlignment="1">
      <alignment horizontal="justify" vertical="center" wrapText="1"/>
    </xf>
    <xf numFmtId="2" fontId="37" fillId="0" borderId="30" xfId="1" applyNumberFormat="1" applyFont="1" applyBorder="1" applyAlignment="1">
      <alignment horizontal="center" vertical="center"/>
    </xf>
    <xf numFmtId="2" fontId="127" fillId="2" borderId="30" xfId="1" applyNumberFormat="1" applyFont="1" applyFill="1" applyBorder="1" applyAlignment="1">
      <alignment horizontal="left"/>
    </xf>
    <xf numFmtId="2" fontId="162" fillId="0" borderId="30" xfId="1" applyNumberFormat="1" applyFont="1" applyBorder="1" applyAlignment="1">
      <alignment horizontal="center"/>
    </xf>
    <xf numFmtId="0" fontId="127" fillId="12" borderId="30" xfId="1" applyFont="1" applyFill="1" applyBorder="1" applyAlignment="1">
      <alignment horizontal="center" vertical="center"/>
    </xf>
    <xf numFmtId="2" fontId="34" fillId="12" borderId="30" xfId="1" applyNumberFormat="1" applyFont="1" applyFill="1" applyBorder="1"/>
    <xf numFmtId="2" fontId="20" fillId="12" borderId="30" xfId="1" applyNumberFormat="1" applyFont="1" applyFill="1" applyBorder="1" applyAlignment="1">
      <alignment vertical="center"/>
    </xf>
    <xf numFmtId="0" fontId="43" fillId="2" borderId="30" xfId="1" applyFont="1" applyFill="1" applyBorder="1"/>
    <xf numFmtId="0" fontId="33" fillId="2" borderId="30" xfId="1" applyFont="1" applyFill="1" applyBorder="1"/>
    <xf numFmtId="10" fontId="37" fillId="0" borderId="30" xfId="11" applyNumberFormat="1" applyFont="1" applyBorder="1"/>
    <xf numFmtId="0" fontId="37" fillId="0" borderId="30" xfId="1" applyFont="1" applyBorder="1"/>
    <xf numFmtId="0" fontId="20" fillId="0" borderId="32" xfId="1" applyFont="1" applyBorder="1"/>
    <xf numFmtId="0" fontId="37" fillId="0" borderId="32" xfId="1" applyFont="1" applyBorder="1"/>
    <xf numFmtId="1" fontId="132" fillId="0" borderId="32" xfId="1" applyNumberFormat="1" applyFont="1" applyBorder="1" applyAlignment="1">
      <alignment horizontal="left" wrapText="1"/>
    </xf>
    <xf numFmtId="1" fontId="132" fillId="9" borderId="15" xfId="1" applyNumberFormat="1" applyFont="1" applyFill="1" applyBorder="1" applyAlignment="1">
      <alignment horizontal="center" vertical="center"/>
    </xf>
    <xf numFmtId="0" fontId="127" fillId="0" borderId="26" xfId="1" applyFont="1" applyBorder="1" applyAlignment="1">
      <alignment horizontal="center"/>
    </xf>
    <xf numFmtId="2" fontId="14" fillId="10" borderId="18" xfId="1" applyNumberFormat="1" applyFont="1" applyFill="1" applyBorder="1" applyAlignment="1">
      <alignment horizontal="center" vertical="center" wrapText="1"/>
    </xf>
    <xf numFmtId="2" fontId="14" fillId="10" borderId="19" xfId="1" applyNumberFormat="1" applyFont="1" applyFill="1" applyBorder="1" applyAlignment="1">
      <alignment horizontal="center" vertical="center"/>
    </xf>
    <xf numFmtId="2" fontId="14" fillId="10" borderId="19" xfId="1" applyNumberFormat="1" applyFont="1" applyFill="1" applyBorder="1" applyAlignment="1">
      <alignment horizontal="center" vertical="center" wrapText="1"/>
    </xf>
    <xf numFmtId="0" fontId="15" fillId="10" borderId="19" xfId="1" applyFont="1" applyFill="1" applyBorder="1"/>
    <xf numFmtId="2" fontId="33" fillId="10" borderId="36" xfId="1" applyNumberFormat="1" applyFont="1" applyFill="1" applyBorder="1" applyAlignment="1">
      <alignment horizontal="center" vertical="center" wrapText="1"/>
    </xf>
    <xf numFmtId="1" fontId="4" fillId="0" borderId="15" xfId="1" applyNumberFormat="1" applyFont="1" applyBorder="1" applyAlignment="1">
      <alignment horizontal="center" vertical="center" wrapText="1"/>
    </xf>
    <xf numFmtId="1" fontId="18" fillId="0" borderId="33" xfId="1" applyNumberFormat="1" applyFont="1" applyBorder="1" applyAlignment="1">
      <alignment horizontal="center"/>
    </xf>
    <xf numFmtId="1" fontId="18" fillId="0" borderId="33" xfId="1" applyNumberFormat="1" applyFont="1" applyBorder="1" applyAlignment="1">
      <alignment horizontal="center" vertical="center"/>
    </xf>
    <xf numFmtId="1" fontId="18" fillId="2" borderId="33" xfId="1" applyNumberFormat="1" applyFont="1" applyFill="1" applyBorder="1" applyAlignment="1">
      <alignment horizontal="center"/>
    </xf>
    <xf numFmtId="1" fontId="18" fillId="2" borderId="33" xfId="1" applyNumberFormat="1" applyFont="1" applyFill="1" applyBorder="1" applyAlignment="1">
      <alignment horizontal="center" vertical="center"/>
    </xf>
    <xf numFmtId="10" fontId="18" fillId="0" borderId="33" xfId="11" applyNumberFormat="1" applyFont="1" applyBorder="1" applyAlignment="1">
      <alignment horizontal="center"/>
    </xf>
    <xf numFmtId="1" fontId="4" fillId="0" borderId="25" xfId="1" applyNumberFormat="1" applyFont="1" applyBorder="1" applyAlignment="1">
      <alignment horizontal="center" vertical="center" wrapText="1"/>
    </xf>
    <xf numFmtId="2" fontId="125" fillId="0" borderId="26" xfId="1" applyNumberFormat="1" applyFont="1" applyBorder="1" applyAlignment="1">
      <alignment horizontal="left" vertical="center" wrapText="1"/>
    </xf>
    <xf numFmtId="2" fontId="124" fillId="0" borderId="26" xfId="1" applyNumberFormat="1" applyFont="1" applyBorder="1" applyAlignment="1">
      <alignment horizontal="center" wrapText="1"/>
    </xf>
    <xf numFmtId="2" fontId="4" fillId="0" borderId="26" xfId="1" applyNumberFormat="1" applyFont="1" applyBorder="1" applyAlignment="1">
      <alignment horizontal="left" vertical="center" wrapText="1"/>
    </xf>
    <xf numFmtId="1" fontId="4" fillId="0" borderId="26" xfId="1" applyNumberFormat="1" applyFont="1" applyBorder="1" applyAlignment="1">
      <alignment horizontal="right"/>
    </xf>
    <xf numFmtId="2" fontId="4" fillId="0" borderId="26" xfId="1" applyNumberFormat="1" applyFont="1" applyBorder="1" applyAlignment="1">
      <alignment horizontal="right"/>
    </xf>
    <xf numFmtId="2" fontId="4" fillId="0" borderId="26" xfId="1" applyNumberFormat="1" applyFont="1" applyBorder="1" applyAlignment="1">
      <alignment horizontal="right" vertical="center"/>
    </xf>
    <xf numFmtId="2" fontId="4" fillId="2" borderId="31" xfId="1" applyNumberFormat="1" applyFont="1" applyFill="1" applyBorder="1" applyAlignment="1">
      <alignment horizontal="left" vertical="center" wrapText="1"/>
    </xf>
    <xf numFmtId="2" fontId="162" fillId="0" borderId="30" xfId="1" applyNumberFormat="1" applyFont="1" applyBorder="1" applyAlignment="1">
      <alignment horizontal="center" vertical="center"/>
    </xf>
    <xf numFmtId="2" fontId="47" fillId="0" borderId="30" xfId="1" applyNumberFormat="1" applyFont="1" applyBorder="1" applyAlignment="1">
      <alignment vertical="center"/>
    </xf>
    <xf numFmtId="0" fontId="10" fillId="10" borderId="19" xfId="1" applyFont="1" applyFill="1" applyBorder="1"/>
    <xf numFmtId="2" fontId="136" fillId="10" borderId="36" xfId="1" applyNumberFormat="1" applyFont="1" applyFill="1" applyBorder="1" applyAlignment="1">
      <alignment horizontal="center" vertical="center" wrapText="1"/>
    </xf>
    <xf numFmtId="0" fontId="14" fillId="9" borderId="15" xfId="1" applyFont="1" applyFill="1" applyBorder="1" applyAlignment="1">
      <alignment horizontal="center" vertical="center"/>
    </xf>
    <xf numFmtId="43" fontId="23" fillId="9" borderId="33" xfId="2" applyFont="1" applyFill="1" applyBorder="1" applyAlignment="1">
      <alignment vertical="center"/>
    </xf>
    <xf numFmtId="0" fontId="125" fillId="0" borderId="15" xfId="1" applyFont="1" applyBorder="1" applyAlignment="1">
      <alignment horizontal="center" vertical="center"/>
    </xf>
    <xf numFmtId="164" fontId="23" fillId="0" borderId="33" xfId="2" applyNumberFormat="1" applyFont="1" applyBorder="1" applyAlignment="1">
      <alignment horizontal="center" vertical="center"/>
    </xf>
    <xf numFmtId="164" fontId="23" fillId="0" borderId="33" xfId="2" applyNumberFormat="1" applyFont="1" applyBorder="1" applyAlignment="1">
      <alignment vertical="center"/>
    </xf>
    <xf numFmtId="43" fontId="23" fillId="0" borderId="33" xfId="2" applyFont="1" applyBorder="1" applyAlignment="1">
      <alignment vertical="center"/>
    </xf>
    <xf numFmtId="0" fontId="14" fillId="0" borderId="15" xfId="1" applyFont="1" applyBorder="1" applyAlignment="1">
      <alignment horizontal="center" vertical="center"/>
    </xf>
    <xf numFmtId="164" fontId="23" fillId="9" borderId="33" xfId="2" applyNumberFormat="1" applyFont="1" applyFill="1" applyBorder="1" applyAlignment="1">
      <alignment vertical="center"/>
    </xf>
    <xf numFmtId="0" fontId="7" fillId="8" borderId="15" xfId="1" applyFont="1" applyFill="1" applyBorder="1" applyAlignment="1">
      <alignment horizontal="center" vertical="center"/>
    </xf>
    <xf numFmtId="164" fontId="23" fillId="8" borderId="33" xfId="2" applyNumberFormat="1" applyFont="1" applyFill="1" applyBorder="1" applyAlignment="1">
      <alignment vertical="center"/>
    </xf>
    <xf numFmtId="0" fontId="4" fillId="0" borderId="15" xfId="1" applyFont="1" applyBorder="1" applyAlignment="1">
      <alignment horizontal="center" vertical="center"/>
    </xf>
    <xf numFmtId="0" fontId="4" fillId="9" borderId="15" xfId="1" applyFont="1" applyFill="1" applyBorder="1" applyAlignment="1">
      <alignment horizontal="center" vertical="center"/>
    </xf>
    <xf numFmtId="1" fontId="14" fillId="9" borderId="15" xfId="1" applyNumberFormat="1" applyFont="1" applyFill="1" applyBorder="1" applyAlignment="1">
      <alignment horizontal="center" vertical="center" wrapText="1"/>
    </xf>
    <xf numFmtId="43" fontId="28" fillId="0" borderId="33" xfId="2" applyFont="1" applyBorder="1" applyAlignment="1">
      <alignment vertical="center"/>
    </xf>
    <xf numFmtId="0" fontId="17" fillId="0" borderId="33" xfId="1" applyFont="1" applyBorder="1" applyAlignment="1">
      <alignment vertical="center" wrapText="1"/>
    </xf>
    <xf numFmtId="43" fontId="29" fillId="9" borderId="33" xfId="2" applyFont="1" applyFill="1" applyBorder="1" applyAlignment="1">
      <alignment vertical="center"/>
    </xf>
    <xf numFmtId="0" fontId="124" fillId="0" borderId="15" xfId="1" applyFont="1" applyBorder="1" applyAlignment="1">
      <alignment horizontal="center" vertical="center"/>
    </xf>
    <xf numFmtId="43" fontId="30" fillId="0" borderId="33" xfId="2" applyFont="1" applyBorder="1" applyAlignment="1">
      <alignment vertical="center"/>
    </xf>
    <xf numFmtId="0" fontId="30" fillId="9" borderId="33" xfId="1" applyFont="1" applyFill="1" applyBorder="1" applyAlignment="1">
      <alignment vertical="center"/>
    </xf>
    <xf numFmtId="0" fontId="132" fillId="10" borderId="15" xfId="1" applyFont="1" applyFill="1" applyBorder="1" applyAlignment="1">
      <alignment horizontal="center" vertical="center" wrapText="1"/>
    </xf>
    <xf numFmtId="0" fontId="30" fillId="8" borderId="33" xfId="1" applyFont="1" applyFill="1" applyBorder="1" applyAlignment="1">
      <alignment vertical="center"/>
    </xf>
    <xf numFmtId="0" fontId="30" fillId="0" borderId="33" xfId="1" applyFont="1" applyBorder="1" applyAlignment="1">
      <alignment vertical="center"/>
    </xf>
    <xf numFmtId="0" fontId="130" fillId="9" borderId="33" xfId="1" applyFont="1" applyFill="1" applyBorder="1" applyAlignment="1">
      <alignment vertical="center"/>
    </xf>
    <xf numFmtId="0" fontId="125" fillId="0" borderId="33" xfId="1" applyFont="1" applyBorder="1" applyAlignment="1">
      <alignment vertical="center"/>
    </xf>
    <xf numFmtId="0" fontId="130" fillId="0" borderId="25" xfId="1" applyFont="1" applyBorder="1" applyAlignment="1">
      <alignment horizontal="center" vertical="center"/>
    </xf>
    <xf numFmtId="0" fontId="132" fillId="0" borderId="26" xfId="1" applyFont="1" applyBorder="1" applyAlignment="1">
      <alignment vertical="center" wrapText="1"/>
    </xf>
    <xf numFmtId="0" fontId="124" fillId="0" borderId="26" xfId="1" applyFont="1" applyBorder="1" applyAlignment="1">
      <alignment horizontal="center" vertical="center"/>
    </xf>
    <xf numFmtId="43" fontId="127" fillId="0" borderId="26" xfId="2" applyFont="1" applyBorder="1" applyAlignment="1">
      <alignment vertical="center"/>
    </xf>
    <xf numFmtId="2" fontId="20" fillId="0" borderId="32" xfId="1" applyNumberFormat="1" applyFont="1" applyBorder="1"/>
    <xf numFmtId="0" fontId="37" fillId="0" borderId="32" xfId="1" applyFont="1" applyBorder="1" applyAlignment="1">
      <alignment horizontal="center" vertical="center"/>
    </xf>
    <xf numFmtId="2" fontId="16" fillId="10" borderId="36" xfId="1" applyNumberFormat="1" applyFont="1" applyFill="1" applyBorder="1" applyAlignment="1">
      <alignment horizontal="center" vertical="center" wrapText="1"/>
    </xf>
    <xf numFmtId="164" fontId="23" fillId="9" borderId="33" xfId="2" applyNumberFormat="1" applyFont="1" applyFill="1" applyBorder="1" applyAlignment="1">
      <alignment horizontal="center"/>
    </xf>
    <xf numFmtId="2" fontId="124" fillId="0" borderId="15" xfId="1" applyNumberFormat="1" applyFont="1" applyBorder="1" applyAlignment="1">
      <alignment horizontal="right"/>
    </xf>
    <xf numFmtId="164" fontId="23" fillId="0" borderId="33" xfId="2" applyNumberFormat="1" applyFont="1" applyBorder="1" applyAlignment="1">
      <alignment horizontal="center"/>
    </xf>
    <xf numFmtId="1" fontId="33" fillId="9" borderId="15" xfId="1" applyNumberFormat="1" applyFont="1" applyFill="1" applyBorder="1" applyAlignment="1">
      <alignment horizontal="left"/>
    </xf>
    <xf numFmtId="2" fontId="139" fillId="0" borderId="15" xfId="1" applyNumberFormat="1" applyFont="1" applyBorder="1" applyAlignment="1">
      <alignment horizontal="center" vertical="center"/>
    </xf>
    <xf numFmtId="166" fontId="89" fillId="0" borderId="33" xfId="2" applyNumberFormat="1" applyFont="1" applyBorder="1" applyAlignment="1">
      <alignment horizontal="center"/>
    </xf>
    <xf numFmtId="166" fontId="116" fillId="9" borderId="33" xfId="2" applyNumberFormat="1" applyFont="1" applyFill="1" applyBorder="1" applyAlignment="1">
      <alignment horizontal="center"/>
    </xf>
    <xf numFmtId="166" fontId="116" fillId="0" borderId="33" xfId="2" applyNumberFormat="1" applyFont="1" applyBorder="1" applyAlignment="1">
      <alignment horizontal="center"/>
    </xf>
    <xf numFmtId="2" fontId="139" fillId="0" borderId="25" xfId="1" applyNumberFormat="1" applyFont="1" applyBorder="1" applyAlignment="1">
      <alignment horizontal="center" vertical="center"/>
    </xf>
    <xf numFmtId="2" fontId="14" fillId="10" borderId="36" xfId="1" applyNumberFormat="1" applyFont="1" applyFill="1" applyBorder="1" applyAlignment="1">
      <alignment horizontal="center" vertical="center" textRotation="90" wrapText="1"/>
    </xf>
    <xf numFmtId="1" fontId="139" fillId="0" borderId="15" xfId="1" applyNumberFormat="1" applyFont="1" applyBorder="1" applyAlignment="1">
      <alignment horizontal="center" vertical="center"/>
    </xf>
    <xf numFmtId="1" fontId="129" fillId="12" borderId="15" xfId="1" applyNumberFormat="1" applyFont="1" applyFill="1" applyBorder="1" applyAlignment="1">
      <alignment horizontal="center" vertical="center"/>
    </xf>
    <xf numFmtId="1" fontId="33" fillId="12" borderId="15" xfId="1" applyNumberFormat="1" applyFont="1" applyFill="1" applyBorder="1" applyAlignment="1">
      <alignment horizontal="center"/>
    </xf>
    <xf numFmtId="0" fontId="83" fillId="0" borderId="26" xfId="1" applyFont="1" applyBorder="1" applyAlignment="1">
      <alignment vertical="center" wrapText="1"/>
    </xf>
    <xf numFmtId="1" fontId="33" fillId="9" borderId="33" xfId="1" applyNumberFormat="1" applyFont="1" applyFill="1" applyBorder="1" applyAlignment="1">
      <alignment horizontal="center" vertical="center"/>
    </xf>
    <xf numFmtId="2" fontId="3" fillId="2" borderId="33" xfId="1" applyNumberFormat="1" applyFill="1" applyBorder="1" applyAlignment="1">
      <alignment vertical="center"/>
    </xf>
    <xf numFmtId="0" fontId="140" fillId="0" borderId="26" xfId="1" applyFont="1" applyBorder="1" applyAlignment="1">
      <alignment horizontal="center" vertical="center"/>
    </xf>
    <xf numFmtId="2" fontId="127" fillId="2" borderId="26" xfId="1" applyNumberFormat="1" applyFont="1" applyFill="1" applyBorder="1" applyAlignment="1">
      <alignment vertical="center"/>
    </xf>
    <xf numFmtId="2" fontId="3" fillId="2" borderId="31" xfId="1" applyNumberFormat="1" applyFill="1" applyBorder="1" applyAlignment="1">
      <alignment vertical="center"/>
    </xf>
    <xf numFmtId="2" fontId="159" fillId="0" borderId="30" xfId="1" applyNumberFormat="1" applyFont="1" applyBorder="1" applyAlignment="1">
      <alignment horizontal="left"/>
    </xf>
    <xf numFmtId="0" fontId="100" fillId="10" borderId="18" xfId="0" applyFont="1" applyFill="1" applyBorder="1" applyAlignment="1">
      <alignment horizontal="center" vertical="center"/>
    </xf>
    <xf numFmtId="0" fontId="100" fillId="10" borderId="19" xfId="0" applyFont="1" applyFill="1" applyBorder="1" applyAlignment="1">
      <alignment horizontal="center" vertical="center"/>
    </xf>
    <xf numFmtId="0" fontId="131" fillId="10" borderId="19" xfId="0" applyFont="1" applyFill="1" applyBorder="1" applyAlignment="1">
      <alignment horizontal="center" vertical="center" wrapText="1"/>
    </xf>
    <xf numFmtId="0" fontId="100" fillId="7" borderId="15" xfId="0" applyFont="1" applyFill="1" applyBorder="1" applyAlignment="1">
      <alignment horizontal="center"/>
    </xf>
    <xf numFmtId="170" fontId="100" fillId="7" borderId="33" xfId="0" applyNumberFormat="1" applyFont="1" applyFill="1" applyBorder="1"/>
    <xf numFmtId="0" fontId="101" fillId="0" borderId="15" xfId="0" applyFont="1" applyBorder="1"/>
    <xf numFmtId="170" fontId="126" fillId="0" borderId="33" xfId="0" applyNumberFormat="1" applyFont="1" applyBorder="1"/>
    <xf numFmtId="170" fontId="131" fillId="7" borderId="33" xfId="0" applyNumberFormat="1" applyFont="1" applyFill="1" applyBorder="1"/>
    <xf numFmtId="0" fontId="101" fillId="0" borderId="15" xfId="0" applyFont="1" applyBorder="1" applyAlignment="1">
      <alignment vertical="center"/>
    </xf>
    <xf numFmtId="0" fontId="100" fillId="7" borderId="15" xfId="0" applyFont="1" applyFill="1" applyBorder="1" applyAlignment="1">
      <alignment horizontal="center" vertical="center"/>
    </xf>
    <xf numFmtId="0" fontId="131" fillId="7" borderId="33" xfId="0" applyFont="1" applyFill="1" applyBorder="1"/>
    <xf numFmtId="169" fontId="101" fillId="0" borderId="15" xfId="0" applyNumberFormat="1" applyFont="1" applyBorder="1"/>
    <xf numFmtId="168" fontId="100" fillId="0" borderId="15" xfId="0" applyNumberFormat="1" applyFont="1" applyBorder="1" applyAlignment="1">
      <alignment horizontal="center"/>
    </xf>
    <xf numFmtId="169" fontId="100" fillId="0" borderId="15" xfId="0" applyNumberFormat="1" applyFont="1" applyBorder="1" applyAlignment="1">
      <alignment horizontal="center"/>
    </xf>
    <xf numFmtId="169" fontId="100" fillId="7" borderId="15" xfId="0" applyNumberFormat="1" applyFont="1" applyFill="1" applyBorder="1" applyAlignment="1">
      <alignment horizontal="center"/>
    </xf>
    <xf numFmtId="170" fontId="126" fillId="7" borderId="33" xfId="0" applyNumberFormat="1" applyFont="1" applyFill="1" applyBorder="1"/>
    <xf numFmtId="169" fontId="101" fillId="7" borderId="15" xfId="0" applyNumberFormat="1" applyFont="1" applyFill="1" applyBorder="1"/>
    <xf numFmtId="0" fontId="101" fillId="0" borderId="15" xfId="0" applyFont="1" applyBorder="1" applyAlignment="1">
      <alignment horizontal="right"/>
    </xf>
    <xf numFmtId="169" fontId="101" fillId="0" borderId="15" xfId="0" applyNumberFormat="1" applyFont="1" applyBorder="1" applyAlignment="1">
      <alignment horizontal="right"/>
    </xf>
    <xf numFmtId="168" fontId="100" fillId="7" borderId="15" xfId="0" applyNumberFormat="1" applyFont="1" applyFill="1" applyBorder="1" applyAlignment="1">
      <alignment horizontal="center" vertical="top"/>
    </xf>
    <xf numFmtId="168" fontId="100" fillId="7" borderId="15" xfId="0" applyNumberFormat="1" applyFont="1" applyFill="1" applyBorder="1" applyAlignment="1">
      <alignment horizontal="center"/>
    </xf>
    <xf numFmtId="168" fontId="101" fillId="0" borderId="15" xfId="0" applyNumberFormat="1" applyFont="1" applyBorder="1" applyAlignment="1">
      <alignment horizontal="center" vertical="center"/>
    </xf>
    <xf numFmtId="168" fontId="101" fillId="0" borderId="25" xfId="0" applyNumberFormat="1" applyFont="1" applyBorder="1" applyAlignment="1">
      <alignment horizontal="center" vertical="center"/>
    </xf>
    <xf numFmtId="0" fontId="77" fillId="0" borderId="26" xfId="0" applyFont="1" applyBorder="1" applyAlignment="1">
      <alignment vertical="center"/>
    </xf>
    <xf numFmtId="0" fontId="126" fillId="0" borderId="26" xfId="0" applyFont="1" applyBorder="1" applyAlignment="1">
      <alignment horizontal="center"/>
    </xf>
    <xf numFmtId="170" fontId="126" fillId="0" borderId="26" xfId="0" applyNumberFormat="1" applyFont="1" applyBorder="1"/>
    <xf numFmtId="168" fontId="149" fillId="0" borderId="0" xfId="0" applyNumberFormat="1" applyFont="1" applyAlignment="1">
      <alignment horizontal="center"/>
    </xf>
    <xf numFmtId="43" fontId="100" fillId="10" borderId="15" xfId="8" applyFont="1" applyFill="1" applyBorder="1" applyAlignment="1">
      <alignment vertical="center" wrapText="1"/>
    </xf>
    <xf numFmtId="1" fontId="151" fillId="2" borderId="15" xfId="0" applyNumberFormat="1" applyFont="1" applyFill="1" applyBorder="1" applyAlignment="1">
      <alignment horizontal="center" vertical="center" shrinkToFit="1"/>
    </xf>
    <xf numFmtId="43" fontId="131" fillId="7" borderId="15" xfId="8" applyFont="1" applyFill="1" applyBorder="1" applyAlignment="1">
      <alignment horizontal="center" vertical="center" wrapText="1"/>
    </xf>
    <xf numFmtId="43" fontId="131" fillId="12" borderId="15" xfId="8" applyFont="1" applyFill="1" applyBorder="1" applyAlignment="1">
      <alignment horizontal="center" vertical="center" wrapText="1"/>
    </xf>
    <xf numFmtId="1" fontId="153" fillId="12" borderId="15" xfId="0" applyNumberFormat="1" applyFont="1" applyFill="1" applyBorder="1" applyAlignment="1">
      <alignment horizontal="center" vertical="center" shrinkToFit="1"/>
    </xf>
    <xf numFmtId="1" fontId="151" fillId="12" borderId="15" xfId="0" applyNumberFormat="1" applyFont="1" applyFill="1" applyBorder="1" applyAlignment="1">
      <alignment horizontal="center" vertical="center" shrinkToFit="1"/>
    </xf>
    <xf numFmtId="0" fontId="128" fillId="10" borderId="30" xfId="1" applyFont="1" applyFill="1" applyBorder="1" applyAlignment="1">
      <alignment horizontal="center"/>
    </xf>
    <xf numFmtId="0" fontId="57" fillId="0" borderId="0" xfId="1" applyFont="1"/>
    <xf numFmtId="0" fontId="73" fillId="12" borderId="30" xfId="0" applyFont="1" applyFill="1" applyBorder="1" applyAlignment="1">
      <alignment horizontal="justify" vertical="center" wrapText="1"/>
    </xf>
    <xf numFmtId="0" fontId="150" fillId="10" borderId="0" xfId="0" applyFont="1" applyFill="1" applyAlignment="1">
      <alignment horizontal="center" vertical="center" wrapText="1"/>
    </xf>
    <xf numFmtId="0" fontId="143" fillId="10" borderId="30" xfId="0" applyFont="1" applyFill="1" applyBorder="1" applyAlignment="1">
      <alignment vertical="center" wrapText="1"/>
    </xf>
    <xf numFmtId="43" fontId="100" fillId="10" borderId="18" xfId="8" applyFont="1" applyFill="1" applyBorder="1" applyAlignment="1">
      <alignment vertical="center" wrapText="1"/>
    </xf>
    <xf numFmtId="43" fontId="100" fillId="10" borderId="19" xfId="8" applyFont="1" applyFill="1" applyBorder="1" applyAlignment="1">
      <alignment horizontal="center" vertical="center" wrapText="1"/>
    </xf>
    <xf numFmtId="0" fontId="143" fillId="10" borderId="19" xfId="0" applyFont="1" applyFill="1" applyBorder="1" applyAlignment="1">
      <alignment vertical="center"/>
    </xf>
    <xf numFmtId="2" fontId="0" fillId="0" borderId="0" xfId="0" applyNumberFormat="1"/>
    <xf numFmtId="43" fontId="122" fillId="10" borderId="30" xfId="8" applyFont="1" applyFill="1" applyBorder="1" applyAlignment="1">
      <alignment horizontal="center" vertical="center" wrapText="1"/>
    </xf>
    <xf numFmtId="0" fontId="2" fillId="0" borderId="30" xfId="0" applyFont="1" applyBorder="1"/>
    <xf numFmtId="10" fontId="126" fillId="0" borderId="30" xfId="11" applyNumberFormat="1" applyFont="1" applyFill="1" applyBorder="1" applyAlignment="1">
      <alignment horizontal="center" vertical="center"/>
    </xf>
    <xf numFmtId="2" fontId="81" fillId="0" borderId="30" xfId="0" applyNumberFormat="1" applyFont="1" applyBorder="1" applyAlignment="1">
      <alignment horizontal="center" vertical="center"/>
    </xf>
    <xf numFmtId="43" fontId="0" fillId="0" borderId="30" xfId="0" applyNumberFormat="1" applyBorder="1"/>
    <xf numFmtId="2" fontId="152" fillId="0" borderId="30" xfId="0" applyNumberFormat="1" applyFont="1" applyBorder="1" applyAlignment="1">
      <alignment horizontal="center" vertical="center"/>
    </xf>
    <xf numFmtId="2" fontId="37" fillId="0" borderId="0" xfId="1" applyNumberFormat="1" applyFont="1"/>
    <xf numFmtId="10" fontId="0" fillId="0" borderId="30" xfId="11" applyNumberFormat="1" applyFont="1" applyBorder="1" applyAlignment="1">
      <alignment horizontal="center" vertical="center"/>
    </xf>
    <xf numFmtId="43" fontId="0" fillId="0" borderId="0" xfId="0" applyNumberFormat="1"/>
    <xf numFmtId="43" fontId="122" fillId="10" borderId="22" xfId="8" applyFont="1" applyFill="1" applyBorder="1" applyAlignment="1">
      <alignment horizontal="center" vertical="center" wrapText="1"/>
    </xf>
    <xf numFmtId="0" fontId="150" fillId="10" borderId="36" xfId="0" applyFont="1" applyFill="1" applyBorder="1" applyAlignment="1">
      <alignment horizontal="center" vertical="center" wrapText="1"/>
    </xf>
    <xf numFmtId="0" fontId="37" fillId="0" borderId="30" xfId="1" applyFont="1" applyBorder="1" applyAlignment="1">
      <alignment vertical="center"/>
    </xf>
    <xf numFmtId="0" fontId="37" fillId="0" borderId="0" xfId="1" applyFont="1" applyAlignment="1">
      <alignment horizontal="center" vertical="center"/>
    </xf>
    <xf numFmtId="0" fontId="20" fillId="0" borderId="0" xfId="1" applyFont="1" applyAlignment="1">
      <alignment horizontal="center" vertical="center"/>
    </xf>
    <xf numFmtId="2" fontId="19" fillId="0" borderId="15" xfId="1" applyNumberFormat="1" applyFont="1" applyBorder="1" applyAlignment="1">
      <alignment horizontal="right" vertical="center"/>
    </xf>
    <xf numFmtId="0" fontId="14" fillId="12" borderId="15" xfId="1" applyFont="1" applyFill="1" applyBorder="1" applyAlignment="1">
      <alignment horizontal="center" vertical="center"/>
    </xf>
    <xf numFmtId="2" fontId="19" fillId="0" borderId="25" xfId="1" applyNumberFormat="1" applyFont="1" applyBorder="1" applyAlignment="1">
      <alignment horizontal="right" vertical="center"/>
    </xf>
    <xf numFmtId="0" fontId="37" fillId="0" borderId="26" xfId="1" applyFont="1" applyBorder="1" applyAlignment="1">
      <alignment horizontal="center" vertical="center" wrapText="1"/>
    </xf>
    <xf numFmtId="0" fontId="20" fillId="0" borderId="26" xfId="1" applyFont="1" applyBorder="1" applyAlignment="1">
      <alignment horizontal="center" vertical="center"/>
    </xf>
    <xf numFmtId="0" fontId="162" fillId="0" borderId="30" xfId="1" applyFont="1" applyBorder="1" applyAlignment="1">
      <alignment horizontal="center" vertical="center"/>
    </xf>
    <xf numFmtId="2" fontId="125" fillId="2" borderId="30" xfId="1" applyNumberFormat="1" applyFont="1" applyFill="1" applyBorder="1" applyAlignment="1">
      <alignment horizontal="left" vertical="center" wrapText="1"/>
    </xf>
    <xf numFmtId="2" fontId="124" fillId="2" borderId="30" xfId="1" applyNumberFormat="1" applyFont="1" applyFill="1" applyBorder="1" applyAlignment="1">
      <alignment horizontal="center" vertical="center" wrapText="1"/>
    </xf>
    <xf numFmtId="2" fontId="4" fillId="2" borderId="30" xfId="1" applyNumberFormat="1" applyFont="1" applyFill="1" applyBorder="1" applyAlignment="1">
      <alignment horizontal="right"/>
    </xf>
    <xf numFmtId="0" fontId="20" fillId="0" borderId="32" xfId="1" applyFont="1" applyBorder="1" applyAlignment="1">
      <alignment horizontal="center"/>
    </xf>
    <xf numFmtId="43" fontId="164" fillId="0" borderId="30" xfId="2" applyFont="1" applyBorder="1" applyAlignment="1">
      <alignment horizontal="center" vertical="center"/>
    </xf>
    <xf numFmtId="43" fontId="164" fillId="0" borderId="26" xfId="2" applyFont="1" applyBorder="1" applyAlignment="1">
      <alignment horizontal="center" vertical="center"/>
    </xf>
    <xf numFmtId="43" fontId="3" fillId="0" borderId="0" xfId="1" applyNumberFormat="1" applyAlignment="1">
      <alignment vertical="center"/>
    </xf>
    <xf numFmtId="2" fontId="164" fillId="0" borderId="30" xfId="1" applyNumberFormat="1" applyFont="1" applyBorder="1" applyAlignment="1">
      <alignment horizontal="center"/>
    </xf>
    <xf numFmtId="0" fontId="125" fillId="0" borderId="33" xfId="1" applyFont="1" applyBorder="1" applyAlignment="1">
      <alignment horizontal="center" vertical="center"/>
    </xf>
    <xf numFmtId="0" fontId="4" fillId="0" borderId="33" xfId="1" applyFont="1" applyBorder="1" applyAlignment="1">
      <alignment horizontal="center" vertical="center"/>
    </xf>
    <xf numFmtId="0" fontId="14" fillId="0" borderId="45" xfId="1" applyFont="1" applyBorder="1" applyAlignment="1">
      <alignment horizontal="center" vertical="center"/>
    </xf>
    <xf numFmtId="49" fontId="130" fillId="0" borderId="14" xfId="1" applyNumberFormat="1" applyFont="1" applyBorder="1" applyAlignment="1">
      <alignment horizontal="center" vertical="center"/>
    </xf>
    <xf numFmtId="0" fontId="140" fillId="0" borderId="30" xfId="1" applyFont="1" applyBorder="1" applyAlignment="1">
      <alignment horizontal="justify" vertical="center" wrapText="1"/>
    </xf>
    <xf numFmtId="0" fontId="140" fillId="0" borderId="30" xfId="1" applyFont="1" applyBorder="1" applyAlignment="1">
      <alignment horizontal="justify" vertical="center"/>
    </xf>
    <xf numFmtId="164" fontId="23" fillId="2" borderId="33" xfId="2" applyNumberFormat="1" applyFont="1" applyFill="1" applyBorder="1" applyAlignment="1">
      <alignment horizontal="center"/>
    </xf>
    <xf numFmtId="164" fontId="166" fillId="2" borderId="33" xfId="2" applyNumberFormat="1" applyFont="1" applyFill="1" applyBorder="1" applyAlignment="1">
      <alignment horizontal="center"/>
    </xf>
    <xf numFmtId="0" fontId="78" fillId="9" borderId="30" xfId="1" applyFont="1" applyFill="1" applyBorder="1" applyAlignment="1">
      <alignment vertical="center" wrapText="1"/>
    </xf>
    <xf numFmtId="0" fontId="37" fillId="0" borderId="32" xfId="1" applyFont="1" applyBorder="1" applyAlignment="1">
      <alignment vertical="center"/>
    </xf>
    <xf numFmtId="0" fontId="130" fillId="12" borderId="30" xfId="1" applyFont="1" applyFill="1" applyBorder="1" applyAlignment="1">
      <alignment vertical="center" wrapText="1"/>
    </xf>
    <xf numFmtId="0" fontId="124" fillId="12" borderId="30" xfId="1" applyFont="1" applyFill="1" applyBorder="1" applyAlignment="1">
      <alignment vertical="center"/>
    </xf>
    <xf numFmtId="2" fontId="40" fillId="0" borderId="30" xfId="1" applyNumberFormat="1" applyFont="1" applyBorder="1" applyAlignment="1">
      <alignment horizontal="center" vertical="center" wrapText="1"/>
    </xf>
    <xf numFmtId="166" fontId="165" fillId="2" borderId="33" xfId="2" applyNumberFormat="1" applyFont="1" applyFill="1" applyBorder="1" applyAlignment="1">
      <alignment horizontal="center" vertical="center"/>
    </xf>
    <xf numFmtId="2" fontId="127" fillId="2" borderId="30" xfId="0" applyNumberFormat="1" applyFont="1" applyFill="1" applyBorder="1" applyAlignment="1">
      <alignment horizontal="center"/>
    </xf>
    <xf numFmtId="0" fontId="148" fillId="0" borderId="30" xfId="1" applyFont="1" applyBorder="1" applyAlignment="1">
      <alignment horizontal="center" vertical="center"/>
    </xf>
    <xf numFmtId="2" fontId="148" fillId="0" borderId="30" xfId="1" applyNumberFormat="1" applyFont="1" applyBorder="1" applyAlignment="1">
      <alignment horizontal="center"/>
    </xf>
    <xf numFmtId="0" fontId="37" fillId="0" borderId="30" xfId="9" applyFont="1" applyBorder="1" applyAlignment="1">
      <alignment horizontal="left" vertical="center"/>
    </xf>
    <xf numFmtId="0" fontId="48" fillId="2" borderId="30" xfId="0" applyFont="1" applyFill="1" applyBorder="1" applyAlignment="1">
      <alignment horizontal="justify" vertical="center"/>
    </xf>
    <xf numFmtId="0" fontId="115" fillId="12" borderId="30" xfId="0" applyFont="1" applyFill="1" applyBorder="1" applyAlignment="1">
      <alignment vertical="center"/>
    </xf>
    <xf numFmtId="0" fontId="98" fillId="12" borderId="30" xfId="0" applyFont="1" applyFill="1" applyBorder="1" applyAlignment="1">
      <alignment horizontal="center" vertical="center" wrapText="1"/>
    </xf>
    <xf numFmtId="0" fontId="98" fillId="12" borderId="30" xfId="0" applyFont="1" applyFill="1" applyBorder="1" applyAlignment="1">
      <alignment horizontal="center" vertical="center"/>
    </xf>
    <xf numFmtId="2" fontId="154" fillId="0" borderId="30" xfId="0" applyNumberFormat="1" applyFont="1" applyBorder="1" applyAlignment="1">
      <alignment horizontal="center" vertical="center"/>
    </xf>
    <xf numFmtId="0" fontId="126" fillId="0" borderId="37" xfId="0" applyFont="1" applyBorder="1" applyAlignment="1">
      <alignment horizontal="center" vertical="center"/>
    </xf>
    <xf numFmtId="0" fontId="5" fillId="0" borderId="3" xfId="1" applyFont="1" applyBorder="1"/>
    <xf numFmtId="0" fontId="5" fillId="0" borderId="5" xfId="1" applyFont="1" applyBorder="1"/>
    <xf numFmtId="0" fontId="9" fillId="0" borderId="0" xfId="1" applyFont="1"/>
    <xf numFmtId="0" fontId="5" fillId="0" borderId="8" xfId="1" applyFont="1" applyBorder="1"/>
    <xf numFmtId="0" fontId="5" fillId="2" borderId="5" xfId="1" applyFont="1" applyFill="1" applyBorder="1"/>
    <xf numFmtId="0" fontId="162" fillId="0" borderId="26" xfId="1" applyFont="1" applyBorder="1" applyAlignment="1">
      <alignment horizontal="center" vertical="center"/>
    </xf>
    <xf numFmtId="0" fontId="4" fillId="0" borderId="31" xfId="1" applyFont="1" applyBorder="1" applyAlignment="1">
      <alignment horizontal="center" vertical="center"/>
    </xf>
    <xf numFmtId="2" fontId="164" fillId="0" borderId="26" xfId="1" applyNumberFormat="1" applyFont="1" applyBorder="1" applyAlignment="1">
      <alignment horizontal="center"/>
    </xf>
    <xf numFmtId="2" fontId="72" fillId="0" borderId="29" xfId="4" applyNumberFormat="1" applyFont="1" applyBorder="1"/>
    <xf numFmtId="2" fontId="72" fillId="0" borderId="33" xfId="4" applyNumberFormat="1" applyFont="1" applyBorder="1"/>
    <xf numFmtId="2" fontId="72" fillId="0" borderId="31" xfId="4" applyNumberFormat="1" applyFont="1" applyBorder="1"/>
    <xf numFmtId="0" fontId="140" fillId="0" borderId="19" xfId="1" applyFont="1" applyBorder="1" applyAlignment="1">
      <alignment horizontal="center" vertical="center"/>
    </xf>
    <xf numFmtId="2" fontId="3" fillId="2" borderId="36" xfId="1" applyNumberFormat="1" applyFill="1" applyBorder="1" applyAlignment="1">
      <alignment vertical="center"/>
    </xf>
    <xf numFmtId="0" fontId="130" fillId="10" borderId="30" xfId="1" applyFont="1" applyFill="1" applyBorder="1" applyAlignment="1">
      <alignment horizontal="center" vertical="center"/>
    </xf>
    <xf numFmtId="2" fontId="48" fillId="2" borderId="30" xfId="1" applyNumberFormat="1" applyFont="1" applyFill="1" applyBorder="1" applyAlignment="1">
      <alignment vertical="center"/>
    </xf>
    <xf numFmtId="0" fontId="48" fillId="0" borderId="30" xfId="1" applyFont="1" applyBorder="1" applyAlignment="1">
      <alignment horizontal="left" vertical="center"/>
    </xf>
    <xf numFmtId="2" fontId="48" fillId="0" borderId="30" xfId="1" applyNumberFormat="1" applyFont="1" applyBorder="1" applyAlignment="1">
      <alignment vertical="center"/>
    </xf>
    <xf numFmtId="2" fontId="68" fillId="2" borderId="30" xfId="1" applyNumberFormat="1" applyFont="1" applyFill="1" applyBorder="1" applyAlignment="1">
      <alignment horizontal="center" vertical="center"/>
    </xf>
    <xf numFmtId="2" fontId="127" fillId="0" borderId="30" xfId="1" applyNumberFormat="1" applyFont="1" applyBorder="1" applyAlignment="1">
      <alignment vertical="center"/>
    </xf>
    <xf numFmtId="0" fontId="37" fillId="9" borderId="30" xfId="1" applyFont="1" applyFill="1" applyBorder="1" applyAlignment="1">
      <alignment horizontal="center" vertical="center" wrapText="1"/>
    </xf>
    <xf numFmtId="0" fontId="33" fillId="9" borderId="30" xfId="1" applyFont="1" applyFill="1" applyBorder="1" applyAlignment="1">
      <alignment horizontal="center" vertical="center" wrapText="1"/>
    </xf>
    <xf numFmtId="0" fontId="125" fillId="0" borderId="31" xfId="1" applyFont="1" applyBorder="1" applyAlignment="1">
      <alignment horizontal="center" vertical="center"/>
    </xf>
    <xf numFmtId="0" fontId="20" fillId="0" borderId="32" xfId="1" applyFont="1" applyBorder="1" applyAlignment="1">
      <alignment vertical="center"/>
    </xf>
    <xf numFmtId="0" fontId="127" fillId="12" borderId="15" xfId="1" applyFont="1" applyFill="1" applyBorder="1" applyAlignment="1">
      <alignment horizontal="center" vertical="center"/>
    </xf>
    <xf numFmtId="0" fontId="127" fillId="12" borderId="33" xfId="1" applyFont="1" applyFill="1" applyBorder="1" applyAlignment="1">
      <alignment vertical="center"/>
    </xf>
    <xf numFmtId="0" fontId="127" fillId="0" borderId="32" xfId="1" applyFont="1" applyBorder="1" applyAlignment="1">
      <alignment horizontal="center" vertical="center"/>
    </xf>
    <xf numFmtId="0" fontId="20" fillId="0" borderId="32" xfId="1" applyFont="1" applyBorder="1" applyAlignment="1">
      <alignment horizontal="center" vertical="center"/>
    </xf>
    <xf numFmtId="166" fontId="104" fillId="9" borderId="33" xfId="2" applyNumberFormat="1" applyFont="1" applyFill="1" applyBorder="1" applyAlignment="1">
      <alignment horizontal="center"/>
    </xf>
    <xf numFmtId="0" fontId="130" fillId="7" borderId="16" xfId="9" applyFont="1" applyFill="1" applyBorder="1" applyAlignment="1">
      <alignment horizontal="center"/>
    </xf>
    <xf numFmtId="0" fontId="127" fillId="0" borderId="16" xfId="9" applyFont="1" applyBorder="1" applyAlignment="1">
      <alignment horizontal="center"/>
    </xf>
    <xf numFmtId="0" fontId="127" fillId="0" borderId="16" xfId="9" applyFont="1" applyBorder="1" applyAlignment="1">
      <alignment horizontal="center" vertical="center"/>
    </xf>
    <xf numFmtId="2" fontId="127" fillId="0" borderId="16" xfId="9" applyNumberFormat="1" applyFont="1" applyBorder="1" applyAlignment="1">
      <alignment horizontal="center"/>
    </xf>
    <xf numFmtId="0" fontId="73" fillId="0" borderId="50" xfId="0" applyFont="1" applyBorder="1" applyAlignment="1">
      <alignment horizontal="left"/>
    </xf>
    <xf numFmtId="0" fontId="73" fillId="10" borderId="19" xfId="0" applyFont="1" applyFill="1" applyBorder="1" applyAlignment="1">
      <alignment horizontal="center"/>
    </xf>
    <xf numFmtId="0" fontId="73" fillId="10" borderId="35" xfId="0" applyFont="1" applyFill="1" applyBorder="1" applyAlignment="1">
      <alignment horizontal="center"/>
    </xf>
    <xf numFmtId="0" fontId="73" fillId="10" borderId="36" xfId="0" applyFont="1" applyFill="1" applyBorder="1" applyAlignment="1">
      <alignment horizontal="center"/>
    </xf>
    <xf numFmtId="0" fontId="73" fillId="10" borderId="33" xfId="0" applyFont="1" applyFill="1" applyBorder="1" applyAlignment="1">
      <alignment horizontal="center"/>
    </xf>
    <xf numFmtId="0" fontId="130" fillId="7" borderId="15" xfId="0" applyFont="1" applyFill="1" applyBorder="1" applyAlignment="1">
      <alignment horizontal="left" vertical="center"/>
    </xf>
    <xf numFmtId="0" fontId="73" fillId="7" borderId="33" xfId="0" applyFont="1" applyFill="1" applyBorder="1" applyAlignment="1">
      <alignment horizontal="center"/>
    </xf>
    <xf numFmtId="0" fontId="48" fillId="0" borderId="15" xfId="0" applyFont="1" applyBorder="1" applyAlignment="1">
      <alignment horizontal="left" vertical="center" wrapText="1"/>
    </xf>
    <xf numFmtId="2" fontId="148" fillId="2" borderId="33" xfId="0" applyNumberFormat="1" applyFont="1" applyFill="1" applyBorder="1" applyAlignment="1">
      <alignment horizontal="center"/>
    </xf>
    <xf numFmtId="0" fontId="48" fillId="0" borderId="15" xfId="0" applyFont="1" applyBorder="1" applyAlignment="1">
      <alignment horizontal="left" wrapText="1"/>
    </xf>
    <xf numFmtId="2" fontId="127" fillId="7" borderId="33" xfId="0" applyNumberFormat="1" applyFont="1" applyFill="1" applyBorder="1" applyAlignment="1">
      <alignment horizontal="center"/>
    </xf>
    <xf numFmtId="2" fontId="127" fillId="0" borderId="33" xfId="0" applyNumberFormat="1" applyFont="1" applyBorder="1" applyAlignment="1">
      <alignment horizontal="center"/>
    </xf>
    <xf numFmtId="0" fontId="48" fillId="2" borderId="15" xfId="0" applyFont="1" applyFill="1" applyBorder="1" applyAlignment="1">
      <alignment horizontal="left" vertical="center" wrapText="1"/>
    </xf>
    <xf numFmtId="0" fontId="48" fillId="0" borderId="25" xfId="0" applyFont="1" applyBorder="1" applyAlignment="1">
      <alignment horizontal="left" vertical="center" wrapText="1"/>
    </xf>
    <xf numFmtId="0" fontId="125" fillId="0" borderId="26" xfId="0" applyFont="1" applyBorder="1" applyAlignment="1">
      <alignment horizontal="center" vertical="center"/>
    </xf>
    <xf numFmtId="2" fontId="148" fillId="2" borderId="26" xfId="0" applyNumberFormat="1" applyFont="1" applyFill="1" applyBorder="1" applyAlignment="1">
      <alignment horizontal="center"/>
    </xf>
    <xf numFmtId="2" fontId="127" fillId="0" borderId="26" xfId="0" applyNumberFormat="1" applyFont="1" applyBorder="1" applyAlignment="1">
      <alignment horizontal="center"/>
    </xf>
    <xf numFmtId="2" fontId="148" fillId="2" borderId="31" xfId="0" applyNumberFormat="1" applyFont="1" applyFill="1" applyBorder="1" applyAlignment="1">
      <alignment horizontal="center"/>
    </xf>
    <xf numFmtId="0" fontId="33" fillId="10" borderId="18" xfId="1" applyFont="1" applyFill="1" applyBorder="1" applyAlignment="1">
      <alignment vertical="center"/>
    </xf>
    <xf numFmtId="0" fontId="33" fillId="10" borderId="19" xfId="1" applyFont="1" applyFill="1" applyBorder="1" applyAlignment="1">
      <alignment vertical="center"/>
    </xf>
    <xf numFmtId="1" fontId="4" fillId="0" borderId="15" xfId="1" applyNumberFormat="1" applyFont="1" applyBorder="1" applyAlignment="1">
      <alignment horizontal="center"/>
    </xf>
    <xf numFmtId="1" fontId="4" fillId="0" borderId="25" xfId="1" applyNumberFormat="1" applyFont="1" applyBorder="1" applyAlignment="1">
      <alignment horizontal="center"/>
    </xf>
    <xf numFmtId="0" fontId="117" fillId="0" borderId="26" xfId="1" applyFont="1" applyBorder="1" applyAlignment="1">
      <alignment horizontal="center"/>
    </xf>
    <xf numFmtId="0" fontId="4" fillId="0" borderId="26" xfId="1" applyFont="1" applyBorder="1" applyAlignment="1">
      <alignment horizontal="center"/>
    </xf>
    <xf numFmtId="0" fontId="4" fillId="0" borderId="26" xfId="1" applyFont="1" applyBorder="1"/>
    <xf numFmtId="2" fontId="4" fillId="0" borderId="26" xfId="1" applyNumberFormat="1" applyFont="1" applyBorder="1"/>
    <xf numFmtId="2" fontId="4" fillId="2" borderId="26" xfId="1" applyNumberFormat="1" applyFont="1" applyFill="1" applyBorder="1"/>
    <xf numFmtId="1" fontId="20" fillId="0" borderId="28" xfId="1" applyNumberFormat="1" applyFont="1" applyBorder="1" applyAlignment="1">
      <alignment horizontal="left"/>
    </xf>
    <xf numFmtId="0" fontId="61" fillId="0" borderId="28" xfId="1" applyFont="1" applyBorder="1" applyAlignment="1">
      <alignment vertical="center" wrapText="1"/>
    </xf>
    <xf numFmtId="0" fontId="4" fillId="0" borderId="28" xfId="1" applyFont="1" applyBorder="1" applyAlignment="1">
      <alignment vertical="center" wrapText="1"/>
    </xf>
    <xf numFmtId="2" fontId="19" fillId="0" borderId="28" xfId="1" applyNumberFormat="1" applyFont="1" applyBorder="1"/>
    <xf numFmtId="0" fontId="20" fillId="0" borderId="28" xfId="1" applyFont="1" applyBorder="1"/>
    <xf numFmtId="0" fontId="52" fillId="2" borderId="33" xfId="1" applyFont="1" applyFill="1" applyBorder="1" applyAlignment="1">
      <alignment vertical="center"/>
    </xf>
    <xf numFmtId="1" fontId="20" fillId="0" borderId="25" xfId="1" applyNumberFormat="1" applyFont="1" applyBorder="1" applyAlignment="1">
      <alignment horizontal="center"/>
    </xf>
    <xf numFmtId="1" fontId="20" fillId="0" borderId="26" xfId="1" applyNumberFormat="1" applyFont="1" applyBorder="1" applyAlignment="1">
      <alignment horizontal="left"/>
    </xf>
    <xf numFmtId="0" fontId="33" fillId="10" borderId="19" xfId="1" applyFont="1" applyFill="1" applyBorder="1" applyAlignment="1">
      <alignment horizontal="center" wrapText="1"/>
    </xf>
    <xf numFmtId="2" fontId="41" fillId="0" borderId="15" xfId="1" applyNumberFormat="1" applyFont="1" applyBorder="1" applyAlignment="1">
      <alignment wrapText="1"/>
    </xf>
    <xf numFmtId="2" fontId="20" fillId="0" borderId="15" xfId="1" applyNumberFormat="1" applyFont="1" applyBorder="1" applyAlignment="1">
      <alignment wrapText="1"/>
    </xf>
    <xf numFmtId="2" fontId="33" fillId="0" borderId="15" xfId="1" applyNumberFormat="1" applyFont="1" applyBorder="1" applyAlignment="1">
      <alignment wrapText="1"/>
    </xf>
    <xf numFmtId="1" fontId="14" fillId="7" borderId="15" xfId="1" applyNumberFormat="1" applyFont="1" applyFill="1" applyBorder="1" applyAlignment="1">
      <alignment horizontal="center"/>
    </xf>
    <xf numFmtId="1" fontId="14" fillId="0" borderId="15" xfId="1" applyNumberFormat="1" applyFont="1" applyBorder="1" applyAlignment="1">
      <alignment horizontal="center"/>
    </xf>
    <xf numFmtId="1" fontId="20" fillId="2" borderId="15" xfId="1" applyNumberFormat="1" applyFont="1" applyFill="1" applyBorder="1" applyAlignment="1">
      <alignment horizontal="center"/>
    </xf>
    <xf numFmtId="1" fontId="14" fillId="7" borderId="15" xfId="1" applyNumberFormat="1" applyFont="1" applyFill="1" applyBorder="1" applyAlignment="1">
      <alignment horizontal="center" vertical="center"/>
    </xf>
    <xf numFmtId="0" fontId="14" fillId="7" borderId="15" xfId="1" applyFont="1" applyFill="1" applyBorder="1" applyAlignment="1">
      <alignment horizontal="center" vertical="center"/>
    </xf>
    <xf numFmtId="0" fontId="14" fillId="0" borderId="15" xfId="1" applyFont="1" applyBorder="1" applyAlignment="1">
      <alignment horizontal="center"/>
    </xf>
    <xf numFmtId="1" fontId="26" fillId="7" borderId="15" xfId="1" applyNumberFormat="1" applyFont="1" applyFill="1" applyBorder="1" applyAlignment="1">
      <alignment horizontal="center" vertical="center"/>
    </xf>
    <xf numFmtId="0" fontId="20" fillId="0" borderId="15" xfId="1" applyFont="1" applyBorder="1" applyAlignment="1">
      <alignment horizontal="center"/>
    </xf>
    <xf numFmtId="0" fontId="114" fillId="10" borderId="33" xfId="5" applyFont="1" applyFill="1" applyBorder="1" applyAlignment="1">
      <alignment horizontal="center" vertical="center"/>
    </xf>
    <xf numFmtId="0" fontId="83" fillId="2" borderId="6" xfId="5" applyFont="1" applyFill="1" applyBorder="1"/>
    <xf numFmtId="0" fontId="77" fillId="2" borderId="7" xfId="5" applyFont="1" applyFill="1" applyBorder="1"/>
    <xf numFmtId="0" fontId="80" fillId="2" borderId="7" xfId="5" applyFont="1" applyFill="1" applyBorder="1"/>
    <xf numFmtId="0" fontId="80" fillId="2" borderId="8" xfId="5" applyFont="1" applyFill="1" applyBorder="1"/>
    <xf numFmtId="2" fontId="3" fillId="0" borderId="28" xfId="1" applyNumberFormat="1" applyBorder="1"/>
    <xf numFmtId="1" fontId="132" fillId="10" borderId="18" xfId="1" applyNumberFormat="1" applyFont="1" applyFill="1" applyBorder="1" applyAlignment="1">
      <alignment horizontal="center" vertical="center"/>
    </xf>
    <xf numFmtId="2" fontId="132" fillId="10" borderId="19" xfId="1" applyNumberFormat="1" applyFont="1" applyFill="1" applyBorder="1" applyAlignment="1">
      <alignment horizontal="center" vertical="center"/>
    </xf>
    <xf numFmtId="2" fontId="132" fillId="10" borderId="19" xfId="1" applyNumberFormat="1" applyFont="1" applyFill="1" applyBorder="1" applyAlignment="1">
      <alignment horizontal="center" vertical="center" wrapText="1"/>
    </xf>
    <xf numFmtId="2" fontId="132" fillId="10" borderId="36" xfId="1" applyNumberFormat="1" applyFont="1" applyFill="1" applyBorder="1" applyAlignment="1">
      <alignment horizontal="center" vertical="center" wrapText="1"/>
    </xf>
    <xf numFmtId="0" fontId="3" fillId="7" borderId="33" xfId="1" applyFill="1" applyBorder="1"/>
    <xf numFmtId="1" fontId="125" fillId="0" borderId="15" xfId="1" applyNumberFormat="1" applyFont="1" applyBorder="1" applyAlignment="1">
      <alignment horizontal="center"/>
    </xf>
    <xf numFmtId="0" fontId="3" fillId="0" borderId="33" xfId="1" applyBorder="1"/>
    <xf numFmtId="1" fontId="125" fillId="0" borderId="25" xfId="1" applyNumberFormat="1" applyFont="1" applyBorder="1" applyAlignment="1">
      <alignment horizontal="center"/>
    </xf>
    <xf numFmtId="2" fontId="48" fillId="0" borderId="26" xfId="1" applyNumberFormat="1" applyFont="1" applyBorder="1" applyAlignment="1">
      <alignment horizontal="center"/>
    </xf>
    <xf numFmtId="2" fontId="36" fillId="0" borderId="26" xfId="1" applyNumberFormat="1" applyFont="1" applyBorder="1"/>
    <xf numFmtId="2" fontId="125" fillId="0" borderId="26" xfId="1" applyNumberFormat="1" applyFont="1" applyBorder="1" applyAlignment="1">
      <alignment horizontal="center"/>
    </xf>
    <xf numFmtId="2" fontId="40" fillId="0" borderId="26" xfId="1" applyNumberFormat="1" applyFont="1" applyBorder="1" applyProtection="1">
      <protection locked="0"/>
    </xf>
    <xf numFmtId="2" fontId="125" fillId="0" borderId="26" xfId="1" applyNumberFormat="1" applyFont="1" applyBorder="1" applyProtection="1">
      <protection locked="0"/>
    </xf>
    <xf numFmtId="2" fontId="127" fillId="0" borderId="26" xfId="1" applyNumberFormat="1" applyFont="1" applyBorder="1"/>
    <xf numFmtId="0" fontId="3" fillId="0" borderId="31" xfId="1" applyBorder="1"/>
    <xf numFmtId="0" fontId="32" fillId="10" borderId="18" xfId="1" applyFont="1" applyFill="1" applyBorder="1" applyAlignment="1">
      <alignment horizontal="center" vertical="center"/>
    </xf>
    <xf numFmtId="0" fontId="32" fillId="10" borderId="19" xfId="1" applyFont="1" applyFill="1" applyBorder="1" applyAlignment="1">
      <alignment horizontal="center" vertical="center"/>
    </xf>
    <xf numFmtId="0" fontId="32" fillId="10" borderId="19" xfId="1" applyFont="1" applyFill="1" applyBorder="1" applyAlignment="1">
      <alignment vertical="center"/>
    </xf>
    <xf numFmtId="0" fontId="21" fillId="10" borderId="19" xfId="1" applyFont="1" applyFill="1" applyBorder="1" applyAlignment="1">
      <alignment horizontal="center" vertical="center" wrapText="1"/>
    </xf>
    <xf numFmtId="0" fontId="136" fillId="10" borderId="19" xfId="1" applyFont="1" applyFill="1" applyBorder="1" applyAlignment="1">
      <alignment horizontal="center" vertical="center" wrapText="1"/>
    </xf>
    <xf numFmtId="0" fontId="91" fillId="10" borderId="36" xfId="1" applyFont="1" applyFill="1" applyBorder="1" applyAlignment="1">
      <alignment horizontal="center" vertical="center" wrapText="1"/>
    </xf>
    <xf numFmtId="0" fontId="78" fillId="7" borderId="15" xfId="1" applyFont="1" applyFill="1" applyBorder="1" applyAlignment="1">
      <alignment horizontal="center" vertical="center"/>
    </xf>
    <xf numFmtId="0" fontId="3" fillId="7" borderId="0" xfId="1" applyFill="1"/>
    <xf numFmtId="0" fontId="40" fillId="0" borderId="15" xfId="1" applyFont="1" applyBorder="1"/>
    <xf numFmtId="0" fontId="73" fillId="7" borderId="15" xfId="1" applyFont="1" applyFill="1" applyBorder="1" applyAlignment="1">
      <alignment horizontal="center"/>
    </xf>
    <xf numFmtId="0" fontId="73" fillId="7" borderId="15" xfId="1" applyFont="1" applyFill="1" applyBorder="1" applyAlignment="1">
      <alignment horizontal="center" vertical="center"/>
    </xf>
    <xf numFmtId="0" fontId="127" fillId="0" borderId="25" xfId="1" applyFont="1" applyBorder="1" applyAlignment="1">
      <alignment horizontal="center"/>
    </xf>
    <xf numFmtId="0" fontId="40" fillId="0" borderId="26" xfId="1" applyFont="1" applyBorder="1"/>
    <xf numFmtId="0" fontId="66" fillId="0" borderId="26" xfId="1" applyFont="1" applyBorder="1"/>
    <xf numFmtId="167" fontId="20" fillId="0" borderId="26" xfId="1" applyNumberFormat="1" applyFont="1" applyBorder="1"/>
    <xf numFmtId="43" fontId="122" fillId="10" borderId="32" xfId="8" applyFont="1" applyFill="1" applyBorder="1" applyAlignment="1">
      <alignment horizontal="center" vertical="center" wrapText="1"/>
    </xf>
    <xf numFmtId="43" fontId="126" fillId="0" borderId="37" xfId="0" applyNumberFormat="1" applyFont="1" applyBorder="1" applyAlignment="1">
      <alignment vertical="center"/>
    </xf>
    <xf numFmtId="43" fontId="131" fillId="7" borderId="37" xfId="8" applyFont="1" applyFill="1" applyBorder="1" applyAlignment="1">
      <alignment horizontal="center" vertical="center" wrapText="1"/>
    </xf>
    <xf numFmtId="2" fontId="131" fillId="12" borderId="37" xfId="0" applyNumberFormat="1" applyFont="1" applyFill="1" applyBorder="1" applyAlignment="1">
      <alignment horizontal="center" vertical="center"/>
    </xf>
    <xf numFmtId="0" fontId="131" fillId="12" borderId="37" xfId="0" applyFont="1" applyFill="1" applyBorder="1" applyAlignment="1">
      <alignment horizontal="center" vertical="center"/>
    </xf>
    <xf numFmtId="0" fontId="150" fillId="10" borderId="33" xfId="0" applyFont="1" applyFill="1" applyBorder="1" applyAlignment="1">
      <alignment vertical="center" wrapText="1"/>
    </xf>
    <xf numFmtId="2" fontId="83" fillId="0" borderId="33" xfId="0" applyNumberFormat="1" applyFont="1" applyBorder="1" applyAlignment="1">
      <alignment horizontal="center" vertical="center"/>
    </xf>
    <xf numFmtId="43" fontId="131" fillId="7" borderId="33" xfId="8" applyFont="1" applyFill="1" applyBorder="1" applyAlignment="1">
      <alignment horizontal="center" vertical="center" wrapText="1"/>
    </xf>
    <xf numFmtId="43" fontId="131" fillId="12" borderId="33" xfId="8" applyFont="1" applyFill="1" applyBorder="1" applyAlignment="1">
      <alignment horizontal="center" vertical="center" wrapText="1"/>
    </xf>
    <xf numFmtId="2" fontId="131" fillId="12" borderId="33" xfId="0" applyNumberFormat="1" applyFont="1" applyFill="1" applyBorder="1" applyAlignment="1">
      <alignment horizontal="center" vertical="center"/>
    </xf>
    <xf numFmtId="2" fontId="113" fillId="0" borderId="33" xfId="0" applyNumberFormat="1" applyFont="1" applyBorder="1" applyAlignment="1">
      <alignment horizontal="center" vertical="center" wrapText="1"/>
    </xf>
    <xf numFmtId="2" fontId="126" fillId="0" borderId="33" xfId="0" applyNumberFormat="1" applyFont="1" applyBorder="1" applyAlignment="1">
      <alignment horizontal="center" vertical="center"/>
    </xf>
    <xf numFmtId="2" fontId="126" fillId="2" borderId="33" xfId="0" applyNumberFormat="1" applyFont="1" applyFill="1" applyBorder="1" applyAlignment="1">
      <alignment horizontal="center" vertical="center"/>
    </xf>
    <xf numFmtId="2" fontId="126" fillId="12" borderId="33" xfId="0" applyNumberFormat="1" applyFont="1" applyFill="1" applyBorder="1" applyAlignment="1">
      <alignment horizontal="center" vertical="center"/>
    </xf>
    <xf numFmtId="0" fontId="126" fillId="0" borderId="33" xfId="0" applyFont="1" applyBorder="1" applyAlignment="1">
      <alignment horizontal="center" vertical="center"/>
    </xf>
    <xf numFmtId="0" fontId="131" fillId="12" borderId="33" xfId="0" applyFont="1" applyFill="1" applyBorder="1" applyAlignment="1">
      <alignment horizontal="center" vertical="center"/>
    </xf>
    <xf numFmtId="1" fontId="151" fillId="2" borderId="25" xfId="0" applyNumberFormat="1" applyFont="1" applyFill="1" applyBorder="1" applyAlignment="1">
      <alignment horizontal="center" vertical="center" shrinkToFit="1"/>
    </xf>
    <xf numFmtId="0" fontId="48" fillId="2" borderId="26" xfId="0" applyFont="1" applyFill="1" applyBorder="1" applyAlignment="1">
      <alignment horizontal="justify" vertical="center" wrapText="1"/>
    </xf>
    <xf numFmtId="0" fontId="0" fillId="0" borderId="26" xfId="0" applyBorder="1"/>
    <xf numFmtId="0" fontId="149" fillId="0" borderId="0" xfId="0" applyFont="1" applyAlignment="1">
      <alignment horizontal="center"/>
    </xf>
    <xf numFmtId="2" fontId="126" fillId="0" borderId="16" xfId="0" applyNumberFormat="1" applyFont="1" applyBorder="1" applyAlignment="1">
      <alignment horizontal="center" vertical="center"/>
    </xf>
    <xf numFmtId="2" fontId="131" fillId="12" borderId="16" xfId="0" applyNumberFormat="1" applyFont="1" applyFill="1" applyBorder="1" applyAlignment="1">
      <alignment horizontal="center" vertical="center"/>
    </xf>
    <xf numFmtId="171" fontId="18" fillId="0" borderId="0" xfId="11" applyNumberFormat="1" applyFont="1" applyAlignment="1">
      <alignment horizontal="center"/>
    </xf>
    <xf numFmtId="43" fontId="22" fillId="9" borderId="16" xfId="2" applyFont="1" applyFill="1" applyBorder="1" applyAlignment="1">
      <alignment vertical="center"/>
    </xf>
    <xf numFmtId="43" fontId="86" fillId="0" borderId="16" xfId="2" applyFont="1" applyBorder="1" applyAlignment="1">
      <alignment vertical="center"/>
    </xf>
    <xf numFmtId="43" fontId="86" fillId="9" borderId="16" xfId="2" applyFont="1" applyFill="1" applyBorder="1" applyAlignment="1">
      <alignment vertical="center"/>
    </xf>
    <xf numFmtId="43" fontId="86" fillId="8" borderId="16" xfId="2" applyFont="1" applyFill="1" applyBorder="1" applyAlignment="1">
      <alignment vertical="center"/>
    </xf>
    <xf numFmtId="0" fontId="124" fillId="12" borderId="16" xfId="1" applyFont="1" applyFill="1" applyBorder="1" applyAlignment="1">
      <alignment vertical="center"/>
    </xf>
    <xf numFmtId="2" fontId="33" fillId="12" borderId="16" xfId="1" applyNumberFormat="1" applyFont="1" applyFill="1" applyBorder="1"/>
    <xf numFmtId="0" fontId="16" fillId="12" borderId="16" xfId="1" applyFont="1" applyFill="1" applyBorder="1"/>
    <xf numFmtId="2" fontId="20" fillId="0" borderId="16" xfId="1" applyNumberFormat="1" applyFont="1" applyBorder="1" applyAlignment="1">
      <alignment vertical="center"/>
    </xf>
    <xf numFmtId="2" fontId="20" fillId="9" borderId="16" xfId="1" applyNumberFormat="1" applyFont="1" applyFill="1" applyBorder="1" applyAlignment="1">
      <alignment vertical="center"/>
    </xf>
    <xf numFmtId="2" fontId="33" fillId="9" borderId="16" xfId="1" applyNumberFormat="1" applyFont="1" applyFill="1" applyBorder="1" applyAlignment="1">
      <alignment vertical="center"/>
    </xf>
    <xf numFmtId="2" fontId="20" fillId="2" borderId="16" xfId="1" applyNumberFormat="1" applyFont="1" applyFill="1" applyBorder="1" applyAlignment="1">
      <alignment vertical="center"/>
    </xf>
    <xf numFmtId="2" fontId="20" fillId="2" borderId="17" xfId="1" applyNumberFormat="1" applyFont="1" applyFill="1" applyBorder="1" applyAlignment="1">
      <alignment vertical="center"/>
    </xf>
    <xf numFmtId="2" fontId="19" fillId="11" borderId="16" xfId="1" applyNumberFormat="1" applyFont="1" applyFill="1" applyBorder="1" applyAlignment="1">
      <alignment vertical="center"/>
    </xf>
    <xf numFmtId="2" fontId="33" fillId="9" borderId="16" xfId="1" applyNumberFormat="1" applyFont="1" applyFill="1" applyBorder="1" applyAlignment="1">
      <alignment horizontal="left" vertical="center"/>
    </xf>
    <xf numFmtId="2" fontId="20" fillId="11" borderId="16" xfId="1" applyNumberFormat="1" applyFont="1" applyFill="1" applyBorder="1" applyAlignment="1">
      <alignment vertical="center"/>
    </xf>
    <xf numFmtId="2" fontId="33" fillId="2" borderId="16" xfId="1" applyNumberFormat="1" applyFont="1" applyFill="1" applyBorder="1" applyAlignment="1">
      <alignment vertical="center"/>
    </xf>
    <xf numFmtId="1" fontId="33" fillId="9" borderId="16" xfId="1" applyNumberFormat="1" applyFont="1" applyFill="1" applyBorder="1" applyAlignment="1">
      <alignment horizontal="center" vertical="center"/>
    </xf>
    <xf numFmtId="0" fontId="19" fillId="12" borderId="16" xfId="1" applyFont="1" applyFill="1" applyBorder="1"/>
    <xf numFmtId="167" fontId="20" fillId="0" borderId="16" xfId="1" applyNumberFormat="1" applyFont="1" applyBorder="1"/>
    <xf numFmtId="167" fontId="20" fillId="7" borderId="16" xfId="1" applyNumberFormat="1" applyFont="1" applyFill="1" applyBorder="1"/>
    <xf numFmtId="43" fontId="86" fillId="0" borderId="17" xfId="2" applyFont="1" applyBorder="1" applyAlignment="1">
      <alignment vertical="center"/>
    </xf>
    <xf numFmtId="166" fontId="40" fillId="0" borderId="0" xfId="2" applyNumberFormat="1" applyFont="1" applyBorder="1" applyAlignment="1">
      <alignment horizontal="left"/>
    </xf>
    <xf numFmtId="0" fontId="37" fillId="0" borderId="54" xfId="1" applyFont="1" applyBorder="1"/>
    <xf numFmtId="166" fontId="166" fillId="0" borderId="0" xfId="2" applyNumberFormat="1" applyFont="1" applyBorder="1" applyAlignment="1">
      <alignment horizontal="center"/>
    </xf>
    <xf numFmtId="166" fontId="23" fillId="9" borderId="16" xfId="2" applyNumberFormat="1" applyFont="1" applyFill="1" applyBorder="1" applyAlignment="1">
      <alignment horizontal="center"/>
    </xf>
    <xf numFmtId="164" fontId="88" fillId="0" borderId="16" xfId="2" applyNumberFormat="1" applyFont="1" applyBorder="1" applyAlignment="1">
      <alignment horizontal="center"/>
    </xf>
    <xf numFmtId="166" fontId="23" fillId="0" borderId="16" xfId="2" applyNumberFormat="1" applyFont="1" applyBorder="1" applyAlignment="1">
      <alignment horizontal="center"/>
    </xf>
    <xf numFmtId="166" fontId="139" fillId="9" borderId="54" xfId="2" applyNumberFormat="1" applyFont="1" applyFill="1" applyBorder="1" applyAlignment="1">
      <alignment horizontal="center"/>
    </xf>
    <xf numFmtId="164" fontId="165" fillId="0" borderId="54" xfId="2" applyNumberFormat="1" applyFont="1" applyBorder="1" applyAlignment="1">
      <alignment horizontal="center"/>
    </xf>
    <xf numFmtId="166" fontId="165" fillId="0" borderId="54" xfId="2" applyNumberFormat="1" applyFont="1" applyBorder="1" applyAlignment="1">
      <alignment horizontal="center"/>
    </xf>
    <xf numFmtId="43" fontId="20" fillId="0" borderId="54" xfId="1" applyNumberFormat="1" applyFont="1" applyBorder="1"/>
    <xf numFmtId="166" fontId="30" fillId="9" borderId="0" xfId="2" applyNumberFormat="1" applyFont="1" applyFill="1" applyBorder="1" applyAlignment="1">
      <alignment horizontal="center" vertical="center"/>
    </xf>
    <xf numFmtId="166" fontId="30" fillId="0" borderId="0" xfId="2" applyNumberFormat="1" applyFont="1" applyBorder="1" applyAlignment="1">
      <alignment horizontal="center" vertical="center"/>
    </xf>
    <xf numFmtId="166" fontId="40" fillId="0" borderId="0" xfId="2" applyNumberFormat="1" applyFont="1" applyBorder="1" applyAlignment="1">
      <alignment horizontal="left" vertical="center"/>
    </xf>
    <xf numFmtId="166" fontId="37" fillId="9" borderId="0" xfId="2" applyNumberFormat="1" applyFont="1" applyFill="1" applyBorder="1" applyAlignment="1">
      <alignment horizontal="left"/>
    </xf>
    <xf numFmtId="166" fontId="30" fillId="9" borderId="0" xfId="2" applyNumberFormat="1" applyFont="1" applyFill="1" applyBorder="1" applyAlignment="1">
      <alignment horizontal="center"/>
    </xf>
    <xf numFmtId="10" fontId="84" fillId="0" borderId="33" xfId="11" applyNumberFormat="1" applyFont="1" applyBorder="1" applyAlignment="1">
      <alignment horizontal="center"/>
    </xf>
    <xf numFmtId="0" fontId="155" fillId="10" borderId="43" xfId="5" applyFont="1" applyFill="1" applyBorder="1" applyAlignment="1">
      <alignment vertical="center" wrapText="1"/>
    </xf>
    <xf numFmtId="0" fontId="155" fillId="10" borderId="36" xfId="5" applyFont="1" applyFill="1" applyBorder="1" applyAlignment="1">
      <alignment horizontal="center" vertical="center" wrapText="1"/>
    </xf>
    <xf numFmtId="0" fontId="83" fillId="2" borderId="15" xfId="5" applyFont="1" applyFill="1" applyBorder="1" applyAlignment="1">
      <alignment vertical="center" wrapText="1"/>
    </xf>
    <xf numFmtId="2" fontId="156" fillId="0" borderId="26" xfId="0" applyNumberFormat="1" applyFont="1" applyBorder="1"/>
    <xf numFmtId="0" fontId="3" fillId="7" borderId="16" xfId="1" applyFill="1" applyBorder="1"/>
    <xf numFmtId="2" fontId="127" fillId="0" borderId="16" xfId="1" applyNumberFormat="1" applyFont="1" applyBorder="1"/>
    <xf numFmtId="2" fontId="127" fillId="7" borderId="16" xfId="1" applyNumberFormat="1" applyFont="1" applyFill="1" applyBorder="1"/>
    <xf numFmtId="9" fontId="28" fillId="0" borderId="16" xfId="2" applyNumberFormat="1" applyFont="1" applyBorder="1" applyAlignment="1">
      <alignment horizontal="center"/>
    </xf>
    <xf numFmtId="0" fontId="4" fillId="7" borderId="16" xfId="1" applyFont="1" applyFill="1" applyBorder="1" applyAlignment="1">
      <alignment vertical="center" wrapText="1"/>
    </xf>
    <xf numFmtId="2" fontId="20" fillId="7" borderId="16" xfId="1" applyNumberFormat="1" applyFont="1" applyFill="1" applyBorder="1" applyAlignment="1">
      <alignment vertical="center"/>
    </xf>
    <xf numFmtId="2" fontId="20" fillId="7" borderId="55" xfId="1" applyNumberFormat="1" applyFont="1" applyFill="1" applyBorder="1" applyAlignment="1">
      <alignment vertical="center"/>
    </xf>
    <xf numFmtId="2" fontId="20" fillId="2" borderId="55" xfId="1" applyNumberFormat="1" applyFont="1" applyFill="1" applyBorder="1" applyAlignment="1">
      <alignment vertical="center"/>
    </xf>
    <xf numFmtId="2" fontId="14" fillId="0" borderId="16" xfId="1" applyNumberFormat="1" applyFont="1" applyBorder="1" applyAlignment="1">
      <alignment horizontal="left"/>
    </xf>
    <xf numFmtId="2" fontId="17" fillId="0" borderId="16" xfId="1" applyNumberFormat="1" applyFont="1" applyBorder="1" applyAlignment="1">
      <alignment horizontal="center"/>
    </xf>
    <xf numFmtId="2" fontId="17" fillId="0" borderId="16" xfId="1" applyNumberFormat="1" applyFont="1" applyBorder="1" applyAlignment="1">
      <alignment horizontal="right"/>
    </xf>
    <xf numFmtId="2" fontId="20" fillId="2" borderId="16" xfId="1" applyNumberFormat="1" applyFont="1" applyFill="1" applyBorder="1" applyAlignment="1">
      <alignment horizontal="right"/>
    </xf>
    <xf numFmtId="2" fontId="20" fillId="7" borderId="16" xfId="1" applyNumberFormat="1" applyFont="1" applyFill="1" applyBorder="1" applyAlignment="1">
      <alignment horizontal="right"/>
    </xf>
    <xf numFmtId="0" fontId="68" fillId="0" borderId="0" xfId="1" applyFont="1"/>
    <xf numFmtId="0" fontId="33" fillId="10" borderId="35" xfId="1" applyFont="1" applyFill="1" applyBorder="1" applyAlignment="1">
      <alignment vertical="center"/>
    </xf>
    <xf numFmtId="0" fontId="20" fillId="0" borderId="16" xfId="1" applyFont="1" applyBorder="1"/>
    <xf numFmtId="2" fontId="4" fillId="2" borderId="16" xfId="1" applyNumberFormat="1" applyFont="1" applyFill="1" applyBorder="1"/>
    <xf numFmtId="0" fontId="126" fillId="0" borderId="30" xfId="1" applyFont="1" applyBorder="1"/>
    <xf numFmtId="1" fontId="4" fillId="0" borderId="15" xfId="1" applyNumberFormat="1" applyFont="1" applyBorder="1" applyAlignment="1">
      <alignment horizontal="center" vertical="center"/>
    </xf>
    <xf numFmtId="0" fontId="126" fillId="0" borderId="30" xfId="1" applyFont="1" applyBorder="1" applyAlignment="1">
      <alignment wrapText="1"/>
    </xf>
    <xf numFmtId="0" fontId="126" fillId="0" borderId="30" xfId="1" applyFont="1" applyBorder="1" applyAlignment="1">
      <alignment vertical="center" wrapText="1"/>
    </xf>
    <xf numFmtId="0" fontId="126" fillId="0" borderId="26" xfId="1" applyFont="1" applyBorder="1"/>
    <xf numFmtId="9" fontId="28" fillId="0" borderId="16" xfId="2" applyNumberFormat="1" applyFont="1" applyFill="1" applyBorder="1" applyAlignment="1">
      <alignment horizontal="center"/>
    </xf>
    <xf numFmtId="2" fontId="20" fillId="7" borderId="16" xfId="1" applyNumberFormat="1" applyFont="1" applyFill="1" applyBorder="1"/>
    <xf numFmtId="2" fontId="20" fillId="12" borderId="16" xfId="1" applyNumberFormat="1" applyFont="1" applyFill="1" applyBorder="1"/>
    <xf numFmtId="2" fontId="43" fillId="0" borderId="0" xfId="1" applyNumberFormat="1" applyFont="1" applyAlignment="1">
      <alignment horizontal="center" vertical="center" wrapText="1"/>
    </xf>
    <xf numFmtId="0" fontId="43" fillId="0" borderId="0" xfId="1" applyFont="1" applyAlignment="1">
      <alignment horizontal="center" vertical="center" wrapText="1"/>
    </xf>
    <xf numFmtId="0" fontId="43" fillId="2" borderId="30" xfId="1" applyFont="1" applyFill="1" applyBorder="1" applyAlignment="1">
      <alignment horizontal="center"/>
    </xf>
    <xf numFmtId="0" fontId="43" fillId="2" borderId="30" xfId="1" applyFont="1" applyFill="1" applyBorder="1" applyAlignment="1">
      <alignment horizontal="center" vertical="center" wrapText="1"/>
    </xf>
    <xf numFmtId="170" fontId="126" fillId="0" borderId="55" xfId="0" applyNumberFormat="1" applyFont="1" applyBorder="1"/>
    <xf numFmtId="166" fontId="124" fillId="9" borderId="0" xfId="2" applyNumberFormat="1" applyFont="1" applyFill="1" applyBorder="1" applyAlignment="1">
      <alignment horizontal="left"/>
    </xf>
    <xf numFmtId="166" fontId="165" fillId="0" borderId="0" xfId="2" applyNumberFormat="1" applyFont="1" applyBorder="1" applyAlignment="1">
      <alignment horizontal="center"/>
    </xf>
    <xf numFmtId="0" fontId="4" fillId="0" borderId="0" xfId="1" applyFont="1"/>
    <xf numFmtId="166" fontId="169" fillId="9" borderId="0" xfId="2" applyNumberFormat="1" applyFont="1" applyFill="1" applyBorder="1" applyAlignment="1">
      <alignment horizontal="center"/>
    </xf>
    <xf numFmtId="2" fontId="127" fillId="2" borderId="30" xfId="1" applyNumberFormat="1" applyFont="1" applyFill="1" applyBorder="1" applyAlignment="1">
      <alignment horizontal="right"/>
    </xf>
    <xf numFmtId="0" fontId="127" fillId="0" borderId="33" xfId="1" applyFont="1" applyBorder="1"/>
    <xf numFmtId="43" fontId="126" fillId="0" borderId="16" xfId="0" applyNumberFormat="1" applyFont="1" applyBorder="1" applyAlignment="1">
      <alignment vertical="center"/>
    </xf>
    <xf numFmtId="43" fontId="131" fillId="12" borderId="16" xfId="8" applyFont="1" applyFill="1" applyBorder="1" applyAlignment="1">
      <alignment horizontal="center" vertical="center" wrapText="1"/>
    </xf>
    <xf numFmtId="2" fontId="126" fillId="12" borderId="16" xfId="0" applyNumberFormat="1" applyFont="1" applyFill="1" applyBorder="1" applyAlignment="1">
      <alignment horizontal="center" vertical="center"/>
    </xf>
    <xf numFmtId="0" fontId="126" fillId="0" borderId="16" xfId="0" applyFont="1" applyBorder="1" applyAlignment="1">
      <alignment horizontal="center" vertical="center"/>
    </xf>
    <xf numFmtId="0" fontId="126" fillId="0" borderId="17" xfId="0" applyFont="1" applyBorder="1" applyAlignment="1">
      <alignment horizontal="center" vertical="center"/>
    </xf>
    <xf numFmtId="0" fontId="0" fillId="0" borderId="32" xfId="0" applyBorder="1"/>
    <xf numFmtId="2" fontId="20" fillId="0" borderId="28" xfId="1" applyNumberFormat="1" applyFont="1" applyBorder="1"/>
    <xf numFmtId="2" fontId="43" fillId="0" borderId="30" xfId="1" applyNumberFormat="1" applyFont="1" applyBorder="1" applyAlignment="1">
      <alignment horizontal="center" vertical="center"/>
    </xf>
    <xf numFmtId="0" fontId="43" fillId="2" borderId="32" xfId="1" applyFont="1" applyFill="1" applyBorder="1" applyAlignment="1">
      <alignment horizontal="center"/>
    </xf>
    <xf numFmtId="0" fontId="20" fillId="0" borderId="56" xfId="1" applyFont="1" applyBorder="1"/>
    <xf numFmtId="0" fontId="43" fillId="0" borderId="32" xfId="1" applyFont="1" applyBorder="1" applyAlignment="1">
      <alignment horizontal="center" vertical="center"/>
    </xf>
    <xf numFmtId="0" fontId="33" fillId="8" borderId="30" xfId="1" applyFont="1" applyFill="1" applyBorder="1" applyAlignment="1">
      <alignment horizontal="center" vertical="center" wrapText="1"/>
    </xf>
    <xf numFmtId="0" fontId="33" fillId="8" borderId="30" xfId="1" applyFont="1" applyFill="1" applyBorder="1" applyAlignment="1">
      <alignment horizontal="center" vertical="center"/>
    </xf>
    <xf numFmtId="0" fontId="34" fillId="8" borderId="30" xfId="1" applyFont="1" applyFill="1" applyBorder="1" applyAlignment="1">
      <alignment horizontal="center" vertical="center" wrapText="1"/>
    </xf>
    <xf numFmtId="0" fontId="25" fillId="8" borderId="30" xfId="1" applyFont="1" applyFill="1" applyBorder="1" applyAlignment="1">
      <alignment horizontal="center" vertical="center" wrapText="1"/>
    </xf>
    <xf numFmtId="2" fontId="54" fillId="8" borderId="30" xfId="1" applyNumberFormat="1" applyFont="1" applyFill="1" applyBorder="1" applyAlignment="1">
      <alignment horizontal="center" vertical="center" wrapText="1"/>
    </xf>
    <xf numFmtId="2" fontId="163" fillId="8" borderId="30" xfId="1" applyNumberFormat="1" applyFont="1" applyFill="1" applyBorder="1" applyAlignment="1">
      <alignment horizontal="center" vertical="center" wrapText="1"/>
    </xf>
    <xf numFmtId="2" fontId="135" fillId="8" borderId="30" xfId="1" applyNumberFormat="1" applyFont="1" applyFill="1" applyBorder="1" applyAlignment="1">
      <alignment horizontal="center" vertical="center" wrapText="1"/>
    </xf>
    <xf numFmtId="0" fontId="25" fillId="8" borderId="30" xfId="1" applyFont="1" applyFill="1" applyBorder="1" applyAlignment="1">
      <alignment horizontal="center" vertical="center"/>
    </xf>
    <xf numFmtId="0" fontId="132" fillId="9" borderId="30" xfId="1" applyFont="1" applyFill="1" applyBorder="1" applyAlignment="1">
      <alignment horizontal="center" vertical="top"/>
    </xf>
    <xf numFmtId="0" fontId="127" fillId="0" borderId="30" xfId="1" applyFont="1" applyBorder="1" applyAlignment="1">
      <alignment horizontal="center" vertical="top"/>
    </xf>
    <xf numFmtId="166" fontId="18" fillId="0" borderId="30" xfId="2" applyNumberFormat="1" applyFont="1" applyBorder="1" applyAlignment="1">
      <alignment horizontal="center"/>
    </xf>
    <xf numFmtId="166" fontId="23" fillId="9" borderId="30" xfId="2" applyNumberFormat="1" applyFont="1" applyFill="1" applyBorder="1" applyAlignment="1">
      <alignment horizontal="center"/>
    </xf>
    <xf numFmtId="0" fontId="127" fillId="0" borderId="30" xfId="1" applyFont="1" applyBorder="1" applyAlignment="1">
      <alignment horizontal="right" vertical="top"/>
    </xf>
    <xf numFmtId="0" fontId="132" fillId="12" borderId="30" xfId="1" applyFont="1" applyFill="1" applyBorder="1" applyAlignment="1">
      <alignment horizontal="center" vertical="top"/>
    </xf>
    <xf numFmtId="166" fontId="23" fillId="12" borderId="30" xfId="2" applyNumberFormat="1" applyFont="1" applyFill="1" applyBorder="1" applyAlignment="1">
      <alignment horizontal="center"/>
    </xf>
    <xf numFmtId="166" fontId="23" fillId="0" borderId="30" xfId="2" applyNumberFormat="1" applyFont="1" applyBorder="1" applyAlignment="1">
      <alignment horizontal="center"/>
    </xf>
    <xf numFmtId="1" fontId="132" fillId="9" borderId="30" xfId="1" applyNumberFormat="1" applyFont="1" applyFill="1" applyBorder="1" applyAlignment="1">
      <alignment horizontal="center" vertical="center" wrapText="1"/>
    </xf>
    <xf numFmtId="166" fontId="166" fillId="0" borderId="30" xfId="2" applyNumberFormat="1" applyFont="1" applyBorder="1" applyAlignment="1">
      <alignment horizontal="center"/>
    </xf>
    <xf numFmtId="0" fontId="127" fillId="0" borderId="30" xfId="1" applyFont="1" applyBorder="1" applyAlignment="1">
      <alignment horizontal="right"/>
    </xf>
    <xf numFmtId="2" fontId="127" fillId="0" borderId="30" xfId="1" applyNumberFormat="1" applyFont="1" applyBorder="1" applyAlignment="1">
      <alignment horizontal="right"/>
    </xf>
    <xf numFmtId="167" fontId="127" fillId="0" borderId="30" xfId="1" applyNumberFormat="1" applyFont="1" applyBorder="1" applyAlignment="1">
      <alignment horizontal="center"/>
    </xf>
    <xf numFmtId="1" fontId="132" fillId="9" borderId="30" xfId="1" applyNumberFormat="1" applyFont="1" applyFill="1" applyBorder="1" applyAlignment="1">
      <alignment horizontal="center"/>
    </xf>
    <xf numFmtId="166" fontId="137" fillId="9" borderId="30" xfId="2" applyNumberFormat="1" applyFont="1" applyFill="1" applyBorder="1" applyAlignment="1">
      <alignment horizontal="center"/>
    </xf>
    <xf numFmtId="0" fontId="4" fillId="0" borderId="30" xfId="1" applyFont="1" applyBorder="1" applyAlignment="1">
      <alignment horizontal="center" vertical="center"/>
    </xf>
    <xf numFmtId="168" fontId="132" fillId="9" borderId="30" xfId="1" applyNumberFormat="1" applyFont="1" applyFill="1" applyBorder="1" applyAlignment="1">
      <alignment horizontal="center"/>
    </xf>
    <xf numFmtId="0" fontId="132" fillId="0" borderId="30" xfId="1" applyFont="1" applyBorder="1" applyAlignment="1">
      <alignment horizontal="center"/>
    </xf>
    <xf numFmtId="0" fontId="132" fillId="0" borderId="30" xfId="1" applyFont="1" applyBorder="1" applyAlignment="1">
      <alignment horizontal="center" vertical="center"/>
    </xf>
    <xf numFmtId="2" fontId="78" fillId="0" borderId="30" xfId="1" applyNumberFormat="1" applyFont="1" applyBorder="1" applyAlignment="1">
      <alignment horizontal="center"/>
    </xf>
    <xf numFmtId="0" fontId="78" fillId="0" borderId="30" xfId="1" applyFont="1" applyBorder="1" applyAlignment="1">
      <alignment horizontal="center"/>
    </xf>
    <xf numFmtId="2" fontId="40" fillId="0" borderId="30" xfId="1" applyNumberFormat="1" applyFont="1" applyBorder="1" applyAlignment="1">
      <alignment horizontal="center"/>
    </xf>
    <xf numFmtId="0" fontId="40" fillId="0" borderId="30" xfId="1" applyFont="1" applyBorder="1" applyAlignment="1">
      <alignment horizontal="center"/>
    </xf>
    <xf numFmtId="2" fontId="37" fillId="0" borderId="32" xfId="1" applyNumberFormat="1" applyFont="1" applyBorder="1"/>
    <xf numFmtId="10" fontId="37" fillId="0" borderId="0" xfId="11" applyNumberFormat="1" applyFont="1"/>
    <xf numFmtId="166" fontId="84" fillId="0" borderId="33" xfId="2" quotePrefix="1" applyNumberFormat="1" applyFont="1" applyBorder="1" applyAlignment="1">
      <alignment horizontal="center"/>
    </xf>
    <xf numFmtId="43" fontId="37" fillId="0" borderId="0" xfId="1" applyNumberFormat="1" applyFont="1"/>
    <xf numFmtId="0" fontId="136" fillId="0" borderId="30" xfId="1" applyFont="1" applyBorder="1" applyAlignment="1">
      <alignment horizontal="center" vertical="center" wrapText="1"/>
    </xf>
    <xf numFmtId="0" fontId="136" fillId="0" borderId="32" xfId="1" applyFont="1" applyBorder="1" applyAlignment="1">
      <alignment horizontal="center" vertical="center" wrapText="1"/>
    </xf>
    <xf numFmtId="2" fontId="136" fillId="0" borderId="30" xfId="1" applyNumberFormat="1" applyFont="1" applyBorder="1" applyAlignment="1">
      <alignment horizontal="center" vertical="center" wrapText="1"/>
    </xf>
    <xf numFmtId="2" fontId="139" fillId="0" borderId="57" xfId="1" applyNumberFormat="1" applyFont="1" applyBorder="1" applyAlignment="1">
      <alignment horizontal="center" vertical="center"/>
    </xf>
    <xf numFmtId="0" fontId="127" fillId="0" borderId="23" xfId="1" applyFont="1" applyBorder="1" applyAlignment="1">
      <alignment vertical="center" wrapText="1"/>
    </xf>
    <xf numFmtId="0" fontId="127" fillId="0" borderId="23" xfId="1" applyFont="1" applyBorder="1" applyAlignment="1">
      <alignment horizontal="center" vertical="center" wrapText="1"/>
    </xf>
    <xf numFmtId="0" fontId="20" fillId="0" borderId="23" xfId="1" applyFont="1" applyBorder="1" applyAlignment="1">
      <alignment horizontal="center"/>
    </xf>
    <xf numFmtId="0" fontId="19" fillId="0" borderId="23" xfId="1" applyFont="1" applyBorder="1"/>
    <xf numFmtId="2" fontId="162" fillId="0" borderId="23" xfId="1" applyNumberFormat="1" applyFont="1" applyBorder="1" applyAlignment="1">
      <alignment horizontal="center" vertical="center"/>
    </xf>
    <xf numFmtId="0" fontId="20" fillId="0" borderId="42" xfId="1" applyFont="1" applyBorder="1"/>
    <xf numFmtId="0" fontId="127" fillId="12" borderId="30" xfId="1" applyFont="1" applyFill="1" applyBorder="1" applyAlignment="1">
      <alignment vertical="center"/>
    </xf>
    <xf numFmtId="2" fontId="139" fillId="0" borderId="30" xfId="1" applyNumberFormat="1" applyFont="1" applyBorder="1" applyAlignment="1">
      <alignment horizontal="center" vertical="center"/>
    </xf>
    <xf numFmtId="0" fontId="6" fillId="0" borderId="0" xfId="1" applyFont="1"/>
    <xf numFmtId="0" fontId="132" fillId="12" borderId="30" xfId="1" applyFont="1" applyFill="1" applyBorder="1" applyAlignment="1">
      <alignment horizontal="center" vertical="center" wrapText="1"/>
    </xf>
    <xf numFmtId="0" fontId="6" fillId="0" borderId="0" xfId="1" applyFont="1" applyAlignment="1">
      <alignment horizontal="center"/>
    </xf>
    <xf numFmtId="0" fontId="44" fillId="0" borderId="0" xfId="1" applyFont="1" applyAlignment="1">
      <alignment horizontal="left"/>
    </xf>
    <xf numFmtId="0" fontId="124" fillId="0" borderId="0" xfId="1" applyFont="1" applyAlignment="1">
      <alignment horizontal="center"/>
    </xf>
    <xf numFmtId="168" fontId="136" fillId="0" borderId="0" xfId="1" applyNumberFormat="1" applyFont="1" applyAlignment="1">
      <alignment horizontal="center" vertical="top" wrapText="1"/>
    </xf>
    <xf numFmtId="1" fontId="132" fillId="12" borderId="30" xfId="1" applyNumberFormat="1" applyFont="1" applyFill="1" applyBorder="1" applyAlignment="1">
      <alignment horizontal="left" wrapText="1"/>
    </xf>
    <xf numFmtId="166" fontId="124" fillId="0" borderId="0" xfId="2" applyNumberFormat="1" applyFont="1" applyBorder="1" applyAlignment="1">
      <alignment horizontal="center" vertical="center"/>
    </xf>
    <xf numFmtId="166" fontId="124" fillId="9" borderId="0" xfId="2" applyNumberFormat="1" applyFont="1" applyFill="1" applyBorder="1" applyAlignment="1">
      <alignment horizontal="center" vertical="center"/>
    </xf>
    <xf numFmtId="0" fontId="157" fillId="8" borderId="18" xfId="1" applyFont="1" applyFill="1" applyBorder="1" applyAlignment="1">
      <alignment horizontal="center" vertical="center" wrapText="1"/>
    </xf>
    <xf numFmtId="0" fontId="157" fillId="8" borderId="19" xfId="1" applyFont="1" applyFill="1" applyBorder="1" applyAlignment="1">
      <alignment horizontal="center" vertical="center"/>
    </xf>
    <xf numFmtId="0" fontId="57" fillId="9" borderId="30" xfId="1" applyFont="1" applyFill="1" applyBorder="1" applyAlignment="1">
      <alignment horizontal="center"/>
    </xf>
    <xf numFmtId="0" fontId="157" fillId="9" borderId="30" xfId="1" applyFont="1" applyFill="1" applyBorder="1" applyAlignment="1">
      <alignment horizontal="center"/>
    </xf>
    <xf numFmtId="0" fontId="57" fillId="9" borderId="30" xfId="1" applyFont="1" applyFill="1" applyBorder="1" applyAlignment="1">
      <alignment horizontal="center" vertical="center"/>
    </xf>
    <xf numFmtId="0" fontId="57" fillId="0" borderId="30" xfId="1" applyFont="1" applyBorder="1" applyAlignment="1">
      <alignment horizontal="center" vertical="center"/>
    </xf>
    <xf numFmtId="0" fontId="85" fillId="0" borderId="15" xfId="1" applyFont="1" applyBorder="1" applyAlignment="1">
      <alignment horizontal="center"/>
    </xf>
    <xf numFmtId="1" fontId="94" fillId="9" borderId="15" xfId="1" applyNumberFormat="1" applyFont="1" applyFill="1" applyBorder="1" applyAlignment="1">
      <alignment horizontal="center" vertical="center"/>
    </xf>
    <xf numFmtId="0" fontId="85" fillId="2" borderId="15" xfId="1" applyFont="1" applyFill="1" applyBorder="1" applyAlignment="1">
      <alignment horizontal="center"/>
    </xf>
    <xf numFmtId="167" fontId="94" fillId="9" borderId="15" xfId="1" applyNumberFormat="1" applyFont="1" applyFill="1" applyBorder="1" applyAlignment="1">
      <alignment horizontal="center" vertical="center"/>
    </xf>
    <xf numFmtId="1" fontId="85" fillId="0" borderId="15" xfId="1" applyNumberFormat="1" applyFont="1" applyBorder="1" applyAlignment="1">
      <alignment horizontal="center" vertical="center"/>
    </xf>
    <xf numFmtId="0" fontId="127" fillId="0" borderId="30" xfId="1" applyFont="1" applyBorder="1" applyAlignment="1">
      <alignment horizontal="left" vertical="center" wrapText="1"/>
    </xf>
    <xf numFmtId="0" fontId="157" fillId="10" borderId="19" xfId="1" applyFont="1" applyFill="1" applyBorder="1" applyAlignment="1">
      <alignment horizontal="center" vertical="center"/>
    </xf>
    <xf numFmtId="1" fontId="132" fillId="0" borderId="15" xfId="1" applyNumberFormat="1" applyFont="1" applyBorder="1" applyAlignment="1">
      <alignment horizontal="right"/>
    </xf>
    <xf numFmtId="1" fontId="132" fillId="0" borderId="30" xfId="1" applyNumberFormat="1" applyFont="1" applyBorder="1" applyAlignment="1">
      <alignment horizontal="left"/>
    </xf>
    <xf numFmtId="167" fontId="132" fillId="0" borderId="15" xfId="1" applyNumberFormat="1" applyFont="1" applyBorder="1" applyAlignment="1">
      <alignment horizontal="center" vertical="center"/>
    </xf>
    <xf numFmtId="1" fontId="132" fillId="7" borderId="30" xfId="1" applyNumberFormat="1" applyFont="1" applyFill="1" applyBorder="1" applyAlignment="1">
      <alignment horizontal="left"/>
    </xf>
    <xf numFmtId="0" fontId="43" fillId="0" borderId="30" xfId="1" applyFont="1" applyBorder="1" applyAlignment="1">
      <alignment horizontal="left" vertical="center" wrapText="1"/>
    </xf>
    <xf numFmtId="2" fontId="77" fillId="0" borderId="30" xfId="0" applyNumberFormat="1" applyFont="1" applyBorder="1" applyAlignment="1">
      <alignment horizontal="center" vertical="center"/>
    </xf>
    <xf numFmtId="10" fontId="77" fillId="0" borderId="30" xfId="11" applyNumberFormat="1" applyFont="1" applyBorder="1" applyAlignment="1">
      <alignment horizontal="center" vertical="center"/>
    </xf>
    <xf numFmtId="0" fontId="77" fillId="0" borderId="30" xfId="0" applyFont="1" applyBorder="1" applyAlignment="1">
      <alignment horizontal="center"/>
    </xf>
    <xf numFmtId="0" fontId="77" fillId="0" borderId="0" xfId="0" applyFont="1" applyAlignment="1">
      <alignment horizontal="center"/>
    </xf>
    <xf numFmtId="2" fontId="108" fillId="0" borderId="15" xfId="9" applyNumberFormat="1" applyFont="1" applyBorder="1" applyAlignment="1">
      <alignment horizontal="center"/>
    </xf>
    <xf numFmtId="2" fontId="108" fillId="0" borderId="15" xfId="9" applyNumberFormat="1" applyFont="1" applyBorder="1" applyAlignment="1">
      <alignment horizontal="center" vertical="center"/>
    </xf>
    <xf numFmtId="2" fontId="158" fillId="12" borderId="15" xfId="9" applyNumberFormat="1" applyFont="1" applyFill="1" applyBorder="1" applyAlignment="1">
      <alignment horizontal="center"/>
    </xf>
    <xf numFmtId="2" fontId="158" fillId="12" borderId="15" xfId="9" applyNumberFormat="1" applyFont="1" applyFill="1" applyBorder="1" applyAlignment="1">
      <alignment horizontal="center" vertical="center"/>
    </xf>
    <xf numFmtId="2" fontId="108" fillId="0" borderId="25" xfId="9" applyNumberFormat="1" applyFont="1" applyBorder="1" applyAlignment="1">
      <alignment horizontal="center"/>
    </xf>
    <xf numFmtId="0" fontId="20" fillId="12" borderId="16" xfId="1" applyFont="1" applyFill="1" applyBorder="1"/>
    <xf numFmtId="0" fontId="127" fillId="0" borderId="15" xfId="1" applyFont="1" applyBorder="1" applyAlignment="1">
      <alignment horizontal="right"/>
    </xf>
    <xf numFmtId="167" fontId="132" fillId="7" borderId="15" xfId="1" applyNumberFormat="1" applyFont="1" applyFill="1" applyBorder="1" applyAlignment="1">
      <alignment horizontal="right"/>
    </xf>
    <xf numFmtId="171" fontId="37" fillId="0" borderId="0" xfId="11" applyNumberFormat="1" applyFont="1" applyAlignment="1">
      <alignment horizontal="center" vertical="center"/>
    </xf>
    <xf numFmtId="1" fontId="171" fillId="0" borderId="30" xfId="1" applyNumberFormat="1" applyFont="1" applyBorder="1" applyAlignment="1">
      <alignment horizontal="left" vertical="center"/>
    </xf>
    <xf numFmtId="1" fontId="127" fillId="0" borderId="30" xfId="1" applyNumberFormat="1" applyFont="1" applyBorder="1" applyAlignment="1">
      <alignment horizontal="left" vertical="center"/>
    </xf>
    <xf numFmtId="167" fontId="124" fillId="0" borderId="15" xfId="1" applyNumberFormat="1" applyFont="1" applyBorder="1" applyAlignment="1">
      <alignment horizontal="right"/>
    </xf>
    <xf numFmtId="0" fontId="172" fillId="7" borderId="30" xfId="9" applyFont="1" applyFill="1" applyBorder="1" applyAlignment="1">
      <alignment horizontal="left"/>
    </xf>
    <xf numFmtId="171" fontId="37" fillId="0" borderId="30" xfId="11" applyNumberFormat="1" applyFont="1" applyBorder="1" applyAlignment="1">
      <alignment horizontal="center" vertical="center"/>
    </xf>
    <xf numFmtId="1" fontId="132" fillId="7" borderId="30" xfId="1" applyNumberFormat="1" applyFont="1" applyFill="1" applyBorder="1" applyAlignment="1">
      <alignment horizontal="center"/>
    </xf>
    <xf numFmtId="1" fontId="136" fillId="7" borderId="30" xfId="1" applyNumberFormat="1" applyFont="1" applyFill="1" applyBorder="1" applyAlignment="1">
      <alignment horizontal="center"/>
    </xf>
    <xf numFmtId="2" fontId="136" fillId="9" borderId="30" xfId="1" applyNumberFormat="1" applyFont="1" applyFill="1" applyBorder="1" applyAlignment="1">
      <alignment horizontal="left" wrapText="1"/>
    </xf>
    <xf numFmtId="2" fontId="40" fillId="0" borderId="30" xfId="1" applyNumberFormat="1" applyFont="1" applyBorder="1" applyAlignment="1">
      <alignment horizontal="left" indent="1"/>
    </xf>
    <xf numFmtId="2" fontId="40" fillId="0" borderId="30" xfId="1" applyNumberFormat="1" applyFont="1" applyBorder="1" applyAlignment="1">
      <alignment horizontal="left" vertical="center" indent="1"/>
    </xf>
    <xf numFmtId="2" fontId="127" fillId="0" borderId="30" xfId="1" applyNumberFormat="1" applyFont="1" applyBorder="1" applyAlignment="1">
      <alignment horizontal="left" vertical="center"/>
    </xf>
    <xf numFmtId="2" fontId="124" fillId="0" borderId="30" xfId="1" applyNumberFormat="1" applyFont="1" applyBorder="1" applyAlignment="1">
      <alignment horizontal="left" vertical="center"/>
    </xf>
    <xf numFmtId="2" fontId="78" fillId="9" borderId="30" xfId="1" applyNumberFormat="1" applyFont="1" applyFill="1" applyBorder="1" applyAlignment="1">
      <alignment horizontal="left" wrapText="1"/>
    </xf>
    <xf numFmtId="2" fontId="132" fillId="9" borderId="30" xfId="1" applyNumberFormat="1" applyFont="1" applyFill="1" applyBorder="1" applyAlignment="1">
      <alignment horizontal="justify" wrapText="1"/>
    </xf>
    <xf numFmtId="2" fontId="124" fillId="0" borderId="30" xfId="1" applyNumberFormat="1" applyFont="1" applyBorder="1" applyAlignment="1">
      <alignment horizontal="justify" vertical="top" wrapText="1"/>
    </xf>
    <xf numFmtId="2" fontId="78" fillId="9" borderId="30" xfId="1" applyNumberFormat="1" applyFont="1" applyFill="1" applyBorder="1" applyAlignment="1">
      <alignment horizontal="left" vertical="center" wrapText="1"/>
    </xf>
    <xf numFmtId="0" fontId="127" fillId="9" borderId="30" xfId="1" applyFont="1" applyFill="1" applyBorder="1" applyAlignment="1">
      <alignment vertical="center" wrapText="1"/>
    </xf>
    <xf numFmtId="0" fontId="127" fillId="9" borderId="26" xfId="1" applyFont="1" applyFill="1" applyBorder="1" applyAlignment="1">
      <alignment vertical="center" wrapText="1"/>
    </xf>
    <xf numFmtId="167" fontId="0" fillId="0" borderId="30" xfId="0" applyNumberFormat="1" applyBorder="1"/>
    <xf numFmtId="2" fontId="132" fillId="9" borderId="30" xfId="1" applyNumberFormat="1" applyFont="1" applyFill="1" applyBorder="1" applyAlignment="1">
      <alignment horizontal="left" vertical="center"/>
    </xf>
    <xf numFmtId="172" fontId="0" fillId="0" borderId="0" xfId="0" applyNumberFormat="1"/>
    <xf numFmtId="172" fontId="0" fillId="0" borderId="0" xfId="0" applyNumberFormat="1" applyAlignment="1">
      <alignment horizontal="center" vertical="center"/>
    </xf>
    <xf numFmtId="43" fontId="149" fillId="0" borderId="30" xfId="8" applyFont="1" applyBorder="1" applyAlignment="1">
      <alignment horizontal="center" vertical="center"/>
    </xf>
    <xf numFmtId="0" fontId="173" fillId="0" borderId="0" xfId="0" applyFont="1"/>
    <xf numFmtId="0" fontId="39" fillId="7" borderId="16" xfId="4" applyFont="1" applyFill="1" applyBorder="1"/>
    <xf numFmtId="2" fontId="22" fillId="0" borderId="16" xfId="4" applyNumberFormat="1" applyFont="1" applyBorder="1"/>
    <xf numFmtId="2" fontId="26" fillId="7" borderId="16" xfId="4" applyNumberFormat="1" applyFont="1" applyFill="1" applyBorder="1"/>
    <xf numFmtId="2" fontId="26" fillId="7" borderId="16" xfId="4" applyNumberFormat="1" applyFont="1" applyFill="1" applyBorder="1" applyAlignment="1">
      <alignment vertical="center"/>
    </xf>
    <xf numFmtId="2" fontId="33" fillId="7" borderId="30" xfId="1" applyNumberFormat="1" applyFont="1" applyFill="1" applyBorder="1" applyAlignment="1">
      <alignment horizontal="center" vertical="center"/>
    </xf>
    <xf numFmtId="2" fontId="33" fillId="7" borderId="30" xfId="1" applyNumberFormat="1" applyFont="1" applyFill="1" applyBorder="1" applyAlignment="1">
      <alignment horizontal="center"/>
    </xf>
    <xf numFmtId="2" fontId="19" fillId="7" borderId="30" xfId="1" applyNumberFormat="1" applyFont="1" applyFill="1" applyBorder="1" applyAlignment="1">
      <alignment horizontal="center"/>
    </xf>
    <xf numFmtId="9" fontId="28" fillId="7" borderId="30" xfId="13" applyNumberFormat="1" applyFont="1" applyFill="1" applyBorder="1" applyAlignment="1">
      <alignment horizontal="center"/>
    </xf>
    <xf numFmtId="2" fontId="34" fillId="0" borderId="30" xfId="1" applyNumberFormat="1" applyFont="1" applyBorder="1" applyAlignment="1">
      <alignment horizontal="center"/>
    </xf>
    <xf numFmtId="2" fontId="19" fillId="0" borderId="30" xfId="1" applyNumberFormat="1" applyFont="1" applyBorder="1" applyAlignment="1">
      <alignment horizontal="center"/>
    </xf>
    <xf numFmtId="2" fontId="19" fillId="2" borderId="30" xfId="1" applyNumberFormat="1" applyFont="1" applyFill="1" applyBorder="1" applyAlignment="1">
      <alignment horizontal="center"/>
    </xf>
    <xf numFmtId="2" fontId="34" fillId="7" borderId="30" xfId="1" applyNumberFormat="1" applyFont="1" applyFill="1" applyBorder="1" applyAlignment="1">
      <alignment horizontal="center"/>
    </xf>
    <xf numFmtId="2" fontId="34" fillId="9" borderId="30" xfId="1" applyNumberFormat="1" applyFont="1" applyFill="1" applyBorder="1" applyAlignment="1">
      <alignment horizontal="center"/>
    </xf>
    <xf numFmtId="2" fontId="19" fillId="9" borderId="30" xfId="1" applyNumberFormat="1" applyFont="1" applyFill="1" applyBorder="1" applyAlignment="1">
      <alignment horizontal="center"/>
    </xf>
    <xf numFmtId="2" fontId="58" fillId="0" borderId="30" xfId="1" applyNumberFormat="1" applyFont="1" applyBorder="1" applyAlignment="1">
      <alignment horizontal="center"/>
    </xf>
    <xf numFmtId="2" fontId="35" fillId="0" borderId="30" xfId="1" applyNumberFormat="1" applyFont="1" applyBorder="1" applyAlignment="1">
      <alignment horizontal="center"/>
    </xf>
    <xf numFmtId="2" fontId="16" fillId="0" borderId="30" xfId="1" applyNumberFormat="1" applyFont="1" applyBorder="1" applyAlignment="1">
      <alignment horizontal="center"/>
    </xf>
    <xf numFmtId="2" fontId="35" fillId="9" borderId="30" xfId="1" applyNumberFormat="1" applyFont="1" applyFill="1" applyBorder="1" applyAlignment="1">
      <alignment horizontal="center"/>
    </xf>
    <xf numFmtId="2" fontId="16" fillId="9" borderId="30" xfId="1" applyNumberFormat="1" applyFont="1" applyFill="1" applyBorder="1" applyAlignment="1">
      <alignment horizontal="center"/>
    </xf>
    <xf numFmtId="2" fontId="33" fillId="9" borderId="30" xfId="1" applyNumberFormat="1" applyFont="1" applyFill="1" applyBorder="1" applyAlignment="1">
      <alignment horizontal="center"/>
    </xf>
    <xf numFmtId="2" fontId="33" fillId="0" borderId="30" xfId="1" applyNumberFormat="1" applyFont="1" applyBorder="1" applyAlignment="1">
      <alignment horizontal="center"/>
    </xf>
    <xf numFmtId="2" fontId="20" fillId="9" borderId="30" xfId="1" applyNumberFormat="1" applyFont="1" applyFill="1" applyBorder="1" applyAlignment="1">
      <alignment horizontal="center"/>
    </xf>
    <xf numFmtId="2" fontId="19" fillId="2" borderId="30" xfId="1" applyNumberFormat="1" applyFont="1" applyFill="1" applyBorder="1" applyAlignment="1">
      <alignment horizontal="center" vertical="top" wrapText="1"/>
    </xf>
    <xf numFmtId="2" fontId="62" fillId="9" borderId="30" xfId="1" applyNumberFormat="1" applyFont="1" applyFill="1" applyBorder="1" applyAlignment="1">
      <alignment horizontal="center"/>
    </xf>
    <xf numFmtId="2" fontId="58" fillId="9" borderId="30" xfId="1" applyNumberFormat="1" applyFont="1" applyFill="1" applyBorder="1" applyAlignment="1">
      <alignment horizontal="center"/>
    </xf>
    <xf numFmtId="2" fontId="58" fillId="2" borderId="30" xfId="1" applyNumberFormat="1" applyFont="1" applyFill="1" applyBorder="1" applyAlignment="1">
      <alignment horizontal="center"/>
    </xf>
    <xf numFmtId="2" fontId="34" fillId="2" borderId="30" xfId="1" applyNumberFormat="1" applyFont="1" applyFill="1" applyBorder="1" applyAlignment="1">
      <alignment horizontal="center" vertical="center"/>
    </xf>
    <xf numFmtId="2" fontId="19" fillId="2" borderId="30" xfId="1" applyNumberFormat="1" applyFont="1" applyFill="1" applyBorder="1" applyAlignment="1">
      <alignment horizontal="center" vertical="center"/>
    </xf>
    <xf numFmtId="2" fontId="19" fillId="0" borderId="30" xfId="1" applyNumberFormat="1" applyFont="1" applyBorder="1" applyAlignment="1">
      <alignment horizontal="center" vertical="center"/>
    </xf>
    <xf numFmtId="0" fontId="19" fillId="0" borderId="30" xfId="1" applyFont="1" applyBorder="1" applyAlignment="1">
      <alignment horizontal="center"/>
    </xf>
    <xf numFmtId="0" fontId="19" fillId="9" borderId="30" xfId="1" applyFont="1" applyFill="1" applyBorder="1" applyAlignment="1">
      <alignment horizontal="center"/>
    </xf>
    <xf numFmtId="0" fontId="19" fillId="9" borderId="30" xfId="1" applyFont="1" applyFill="1" applyBorder="1" applyAlignment="1">
      <alignment horizontal="center" vertical="center"/>
    </xf>
    <xf numFmtId="2" fontId="19" fillId="9" borderId="30" xfId="1" applyNumberFormat="1" applyFont="1" applyFill="1" applyBorder="1" applyAlignment="1">
      <alignment horizontal="center" vertical="center"/>
    </xf>
    <xf numFmtId="2" fontId="34" fillId="9" borderId="30" xfId="1" applyNumberFormat="1" applyFont="1" applyFill="1" applyBorder="1" applyAlignment="1">
      <alignment horizontal="center" vertical="center"/>
    </xf>
    <xf numFmtId="0" fontId="16" fillId="9" borderId="30" xfId="1" applyFont="1" applyFill="1" applyBorder="1" applyAlignment="1">
      <alignment horizontal="center"/>
    </xf>
    <xf numFmtId="0" fontId="98" fillId="7" borderId="30" xfId="1" applyFont="1" applyFill="1" applyBorder="1" applyAlignment="1">
      <alignment horizontal="center" vertical="center"/>
    </xf>
    <xf numFmtId="0" fontId="77" fillId="7" borderId="30" xfId="1" applyFont="1" applyFill="1" applyBorder="1" applyAlignment="1">
      <alignment vertical="center"/>
    </xf>
    <xf numFmtId="0" fontId="98" fillId="0" borderId="30" xfId="1" applyFont="1" applyBorder="1" applyAlignment="1">
      <alignment horizontal="center" vertical="center"/>
    </xf>
    <xf numFmtId="2" fontId="44" fillId="0" borderId="30" xfId="1" applyNumberFormat="1" applyFont="1" applyBorder="1" applyAlignment="1">
      <alignment horizontal="center" vertical="center"/>
    </xf>
    <xf numFmtId="2" fontId="20" fillId="2" borderId="30" xfId="1" applyNumberFormat="1" applyFont="1" applyFill="1" applyBorder="1" applyAlignment="1">
      <alignment horizontal="center" vertical="center" wrapText="1"/>
    </xf>
    <xf numFmtId="2" fontId="20" fillId="2" borderId="30" xfId="1" applyNumberFormat="1" applyFont="1" applyFill="1" applyBorder="1" applyAlignment="1">
      <alignment horizontal="center" wrapText="1"/>
    </xf>
    <xf numFmtId="0" fontId="48" fillId="0" borderId="30" xfId="1" applyFont="1" applyBorder="1" applyAlignment="1">
      <alignment horizontal="left"/>
    </xf>
    <xf numFmtId="0" fontId="115" fillId="7" borderId="30" xfId="1" applyFont="1" applyFill="1" applyBorder="1" applyAlignment="1">
      <alignment horizontal="left"/>
    </xf>
    <xf numFmtId="2" fontId="37" fillId="7" borderId="30" xfId="1" applyNumberFormat="1" applyFont="1" applyFill="1" applyBorder="1" applyAlignment="1">
      <alignment horizontal="center" vertical="center"/>
    </xf>
    <xf numFmtId="2" fontId="44" fillId="7" borderId="30" xfId="1" applyNumberFormat="1" applyFont="1" applyFill="1" applyBorder="1" applyAlignment="1">
      <alignment horizontal="center" vertical="center"/>
    </xf>
    <xf numFmtId="2" fontId="20" fillId="7" borderId="30" xfId="1" applyNumberFormat="1" applyFont="1" applyFill="1" applyBorder="1" applyAlignment="1">
      <alignment horizontal="center" vertical="center" wrapText="1"/>
    </xf>
    <xf numFmtId="2" fontId="20" fillId="7" borderId="30" xfId="1" applyNumberFormat="1" applyFont="1" applyFill="1" applyBorder="1" applyAlignment="1">
      <alignment horizontal="center" wrapText="1"/>
    </xf>
    <xf numFmtId="0" fontId="146" fillId="7" borderId="30" xfId="1" applyFont="1" applyFill="1" applyBorder="1" applyAlignment="1">
      <alignment horizontal="left"/>
    </xf>
    <xf numFmtId="0" fontId="48" fillId="0" borderId="30" xfId="1" applyFont="1" applyBorder="1" applyAlignment="1">
      <alignment horizontal="left" vertical="center" wrapText="1"/>
    </xf>
    <xf numFmtId="0" fontId="73" fillId="7" borderId="30" xfId="1" applyFont="1" applyFill="1" applyBorder="1" applyAlignment="1">
      <alignment horizontal="left" vertical="center"/>
    </xf>
    <xf numFmtId="0" fontId="115" fillId="7" borderId="30" xfId="1" applyFont="1" applyFill="1" applyBorder="1" applyAlignment="1">
      <alignment horizontal="center" vertical="center"/>
    </xf>
    <xf numFmtId="2" fontId="43" fillId="7" borderId="30" xfId="1" applyNumberFormat="1" applyFont="1" applyFill="1" applyBorder="1" applyAlignment="1">
      <alignment horizontal="center" vertical="center"/>
    </xf>
    <xf numFmtId="2" fontId="61" fillId="7" borderId="30" xfId="1" applyNumberFormat="1" applyFont="1" applyFill="1" applyBorder="1" applyAlignment="1">
      <alignment horizontal="center" vertical="center"/>
    </xf>
    <xf numFmtId="2" fontId="33" fillId="7" borderId="30" xfId="1" applyNumberFormat="1" applyFont="1" applyFill="1" applyBorder="1" applyAlignment="1">
      <alignment horizontal="center" vertical="center" wrapText="1"/>
    </xf>
    <xf numFmtId="2" fontId="33" fillId="7" borderId="30" xfId="1" applyNumberFormat="1" applyFont="1" applyFill="1" applyBorder="1" applyAlignment="1">
      <alignment horizontal="center" wrapText="1"/>
    </xf>
    <xf numFmtId="2" fontId="19" fillId="2" borderId="30" xfId="1" applyNumberFormat="1" applyFont="1" applyFill="1" applyBorder="1" applyAlignment="1">
      <alignment horizontal="center" vertical="center" wrapText="1"/>
    </xf>
    <xf numFmtId="0" fontId="73" fillId="7" borderId="30" xfId="1" applyFont="1" applyFill="1" applyBorder="1" applyAlignment="1">
      <alignment horizontal="left"/>
    </xf>
    <xf numFmtId="0" fontId="73" fillId="7" borderId="30" xfId="1" applyFont="1" applyFill="1" applyBorder="1" applyAlignment="1">
      <alignment horizontal="center" vertical="center"/>
    </xf>
    <xf numFmtId="0" fontId="16" fillId="7" borderId="30" xfId="1" applyFont="1" applyFill="1" applyBorder="1" applyAlignment="1">
      <alignment horizontal="center" vertical="center"/>
    </xf>
    <xf numFmtId="0" fontId="48" fillId="0" borderId="30" xfId="1" applyFont="1" applyBorder="1" applyAlignment="1">
      <alignment horizontal="left" wrapText="1"/>
    </xf>
    <xf numFmtId="0" fontId="48" fillId="2" borderId="30" xfId="1" applyFont="1" applyFill="1" applyBorder="1" applyAlignment="1">
      <alignment horizontal="left" wrapText="1"/>
    </xf>
    <xf numFmtId="0" fontId="73" fillId="7" borderId="30" xfId="1" applyFont="1" applyFill="1" applyBorder="1" applyAlignment="1">
      <alignment horizontal="left" wrapText="1"/>
    </xf>
    <xf numFmtId="0" fontId="33" fillId="10" borderId="30" xfId="1" applyFont="1" applyFill="1" applyBorder="1" applyAlignment="1">
      <alignment horizontal="center" vertical="center" wrapText="1"/>
    </xf>
    <xf numFmtId="2" fontId="136" fillId="10" borderId="30" xfId="1" applyNumberFormat="1" applyFont="1" applyFill="1" applyBorder="1" applyAlignment="1">
      <alignment horizontal="center" vertical="center" wrapText="1"/>
    </xf>
    <xf numFmtId="2" fontId="127" fillId="0" borderId="30" xfId="1" applyNumberFormat="1" applyFont="1" applyBorder="1" applyAlignment="1">
      <alignment horizontal="center"/>
    </xf>
    <xf numFmtId="0" fontId="77" fillId="0" borderId="30" xfId="1" applyFont="1" applyBorder="1" applyAlignment="1">
      <alignment horizontal="center" vertical="center"/>
    </xf>
    <xf numFmtId="1" fontId="130" fillId="7" borderId="30" xfId="1" applyNumberFormat="1" applyFont="1" applyFill="1" applyBorder="1" applyAlignment="1">
      <alignment horizontal="center"/>
    </xf>
    <xf numFmtId="0" fontId="77" fillId="7" borderId="30" xfId="1" applyFont="1" applyFill="1" applyBorder="1" applyAlignment="1">
      <alignment horizontal="center" vertical="center"/>
    </xf>
    <xf numFmtId="1" fontId="128" fillId="7" borderId="30" xfId="1" applyNumberFormat="1" applyFont="1" applyFill="1" applyBorder="1" applyAlignment="1">
      <alignment horizontal="center"/>
    </xf>
    <xf numFmtId="0" fontId="81" fillId="7" borderId="30" xfId="1" applyFont="1" applyFill="1" applyBorder="1" applyAlignment="1">
      <alignment horizontal="center" vertical="center"/>
    </xf>
    <xf numFmtId="0" fontId="128" fillId="7" borderId="30" xfId="1" applyFont="1" applyFill="1" applyBorder="1" applyAlignment="1">
      <alignment horizontal="center"/>
    </xf>
    <xf numFmtId="0" fontId="132" fillId="0" borderId="30" xfId="1" applyFont="1" applyBorder="1" applyAlignment="1">
      <alignment horizontal="center" vertical="center" wrapText="1"/>
    </xf>
    <xf numFmtId="0" fontId="132" fillId="7" borderId="30" xfId="1" applyFont="1" applyFill="1" applyBorder="1" applyAlignment="1">
      <alignment horizontal="center" vertical="center" wrapText="1"/>
    </xf>
    <xf numFmtId="43" fontId="174" fillId="0" borderId="30" xfId="8" applyFont="1" applyBorder="1" applyAlignment="1">
      <alignment horizontal="center"/>
    </xf>
    <xf numFmtId="43" fontId="68" fillId="0" borderId="30" xfId="8" applyFont="1" applyBorder="1" applyAlignment="1">
      <alignment horizontal="center" vertical="center"/>
    </xf>
    <xf numFmtId="2" fontId="19" fillId="2" borderId="16" xfId="1" applyNumberFormat="1" applyFont="1" applyFill="1" applyBorder="1" applyAlignment="1">
      <alignment vertical="center"/>
    </xf>
    <xf numFmtId="43" fontId="40" fillId="2" borderId="13" xfId="8" applyFont="1" applyFill="1" applyBorder="1" applyAlignment="1">
      <alignment horizontal="center"/>
    </xf>
    <xf numFmtId="2" fontId="4" fillId="0" borderId="16" xfId="1" applyNumberFormat="1" applyFont="1" applyBorder="1"/>
    <xf numFmtId="2" fontId="20" fillId="2" borderId="16" xfId="1" applyNumberFormat="1" applyFont="1" applyFill="1" applyBorder="1"/>
    <xf numFmtId="170" fontId="126" fillId="2" borderId="33" xfId="0" applyNumberFormat="1" applyFont="1" applyFill="1" applyBorder="1"/>
    <xf numFmtId="166" fontId="175" fillId="9" borderId="0" xfId="2" applyNumberFormat="1" applyFont="1" applyFill="1" applyBorder="1" applyAlignment="1">
      <alignment horizontal="center"/>
    </xf>
    <xf numFmtId="0" fontId="176" fillId="9" borderId="30" xfId="1" applyFont="1" applyFill="1" applyBorder="1" applyAlignment="1">
      <alignment vertical="center" wrapText="1"/>
    </xf>
    <xf numFmtId="0" fontId="48" fillId="0" borderId="30" xfId="1" applyFont="1" applyBorder="1" applyAlignment="1">
      <alignment horizontal="justify" vertical="center" wrapText="1"/>
    </xf>
    <xf numFmtId="0" fontId="68" fillId="0" borderId="0" xfId="1" applyFont="1" applyAlignment="1">
      <alignment horizontal="center"/>
    </xf>
    <xf numFmtId="0" fontId="40" fillId="2" borderId="30" xfId="1" applyFont="1" applyFill="1" applyBorder="1" applyAlignment="1">
      <alignment vertical="center" wrapText="1"/>
    </xf>
    <xf numFmtId="2" fontId="4" fillId="0" borderId="30" xfId="1" applyNumberFormat="1" applyFont="1" applyBorder="1" applyAlignment="1">
      <alignment horizontal="center" vertical="center"/>
    </xf>
    <xf numFmtId="2" fontId="4" fillId="0" borderId="16" xfId="1" applyNumberFormat="1" applyFont="1" applyBorder="1" applyAlignment="1">
      <alignment horizontal="center" vertical="center"/>
    </xf>
    <xf numFmtId="2" fontId="112" fillId="0" borderId="30" xfId="1" applyNumberFormat="1" applyFont="1" applyBorder="1" applyAlignment="1">
      <alignment horizontal="center" vertical="center"/>
    </xf>
    <xf numFmtId="2" fontId="4" fillId="0" borderId="30" xfId="1" applyNumberFormat="1" applyFont="1" applyBorder="1" applyAlignment="1">
      <alignment horizontal="center"/>
    </xf>
    <xf numFmtId="2" fontId="4" fillId="2" borderId="16" xfId="1" applyNumberFormat="1" applyFont="1" applyFill="1" applyBorder="1" applyAlignment="1">
      <alignment horizontal="center" vertical="center"/>
    </xf>
    <xf numFmtId="2" fontId="112" fillId="0" borderId="30" xfId="1" applyNumberFormat="1" applyFont="1" applyBorder="1" applyAlignment="1">
      <alignment horizontal="center"/>
    </xf>
    <xf numFmtId="2" fontId="4" fillId="2" borderId="30" xfId="1" applyNumberFormat="1" applyFont="1" applyFill="1" applyBorder="1" applyAlignment="1">
      <alignment horizontal="center"/>
    </xf>
    <xf numFmtId="2" fontId="4" fillId="0" borderId="26" xfId="1" applyNumberFormat="1" applyFont="1" applyBorder="1" applyAlignment="1">
      <alignment horizontal="center" vertical="center"/>
    </xf>
    <xf numFmtId="2" fontId="4" fillId="0" borderId="17" xfId="1" applyNumberFormat="1" applyFont="1" applyBorder="1" applyAlignment="1">
      <alignment horizontal="center" vertical="center"/>
    </xf>
    <xf numFmtId="0" fontId="37" fillId="0" borderId="30" xfId="1" applyFont="1" applyBorder="1" applyAlignment="1">
      <alignment horizontal="left"/>
    </xf>
    <xf numFmtId="0" fontId="68" fillId="0" borderId="0" xfId="4" applyFont="1"/>
    <xf numFmtId="10" fontId="68" fillId="0" borderId="0" xfId="11" applyNumberFormat="1" applyFont="1"/>
    <xf numFmtId="0" fontId="68" fillId="0" borderId="0" xfId="11" applyNumberFormat="1" applyFont="1"/>
    <xf numFmtId="10" fontId="68" fillId="6" borderId="0" xfId="11" applyNumberFormat="1" applyFont="1" applyFill="1"/>
    <xf numFmtId="2" fontId="37" fillId="0" borderId="30" xfId="1" applyNumberFormat="1" applyFont="1" applyBorder="1" applyAlignment="1">
      <alignment horizontal="center"/>
    </xf>
    <xf numFmtId="9" fontId="37" fillId="0" borderId="30" xfId="11" applyFont="1" applyBorder="1" applyAlignment="1">
      <alignment horizontal="center"/>
    </xf>
    <xf numFmtId="0" fontId="48" fillId="2" borderId="19" xfId="1" applyFont="1" applyFill="1" applyBorder="1" applyAlignment="1">
      <alignment vertical="center"/>
    </xf>
    <xf numFmtId="0" fontId="48" fillId="2" borderId="30" xfId="1" applyFont="1" applyFill="1" applyBorder="1" applyAlignment="1">
      <alignment vertical="center"/>
    </xf>
    <xf numFmtId="0" fontId="48" fillId="2" borderId="30" xfId="1" applyFont="1" applyFill="1" applyBorder="1" applyAlignment="1">
      <alignment vertical="center" wrapText="1"/>
    </xf>
    <xf numFmtId="1" fontId="33" fillId="0" borderId="30" xfId="1" applyNumberFormat="1" applyFont="1" applyBorder="1" applyAlignment="1">
      <alignment horizontal="left" vertical="top" wrapText="1"/>
    </xf>
    <xf numFmtId="1" fontId="28" fillId="2" borderId="29" xfId="2" applyNumberFormat="1" applyFont="1" applyFill="1" applyBorder="1" applyAlignment="1">
      <alignment horizontal="center"/>
    </xf>
    <xf numFmtId="43" fontId="37" fillId="0" borderId="30" xfId="1" applyNumberFormat="1" applyFont="1" applyBorder="1"/>
    <xf numFmtId="0" fontId="37" fillId="0" borderId="30" xfId="1" applyFont="1" applyBorder="1" applyAlignment="1">
      <alignment horizontal="center" wrapText="1"/>
    </xf>
    <xf numFmtId="43" fontId="103" fillId="0" borderId="30" xfId="1" applyNumberFormat="1" applyFont="1" applyBorder="1"/>
    <xf numFmtId="0" fontId="37" fillId="0" borderId="0" xfId="1" applyFont="1" applyAlignment="1">
      <alignment horizontal="center" wrapText="1"/>
    </xf>
    <xf numFmtId="0" fontId="73" fillId="0" borderId="30" xfId="1" applyFont="1" applyBorder="1" applyAlignment="1">
      <alignment horizontal="center"/>
    </xf>
    <xf numFmtId="0" fontId="73" fillId="0" borderId="30" xfId="1" applyFont="1" applyBorder="1"/>
    <xf numFmtId="0" fontId="33" fillId="0" borderId="30" xfId="1" applyFont="1" applyBorder="1"/>
    <xf numFmtId="2" fontId="22" fillId="0" borderId="30" xfId="4" applyNumberFormat="1" applyFont="1" applyBorder="1" applyAlignment="1">
      <alignment horizontal="center"/>
    </xf>
    <xf numFmtId="2" fontId="22" fillId="6" borderId="30" xfId="4" applyNumberFormat="1" applyFont="1" applyFill="1" applyBorder="1"/>
    <xf numFmtId="2" fontId="22" fillId="0" borderId="26" xfId="4" applyNumberFormat="1" applyFont="1" applyBorder="1"/>
    <xf numFmtId="10" fontId="179" fillId="0" borderId="30" xfId="11" applyNumberFormat="1" applyFont="1" applyBorder="1"/>
    <xf numFmtId="10" fontId="180" fillId="0" borderId="30" xfId="11" applyNumberFormat="1" applyFont="1" applyBorder="1"/>
    <xf numFmtId="10" fontId="181" fillId="0" borderId="30" xfId="11" applyNumberFormat="1" applyFont="1" applyBorder="1"/>
    <xf numFmtId="10" fontId="181" fillId="6" borderId="30" xfId="11" applyNumberFormat="1" applyFont="1" applyFill="1" applyBorder="1"/>
    <xf numFmtId="2" fontId="72" fillId="2" borderId="30" xfId="4" applyNumberFormat="1" applyFont="1" applyFill="1" applyBorder="1"/>
    <xf numFmtId="0" fontId="128" fillId="10" borderId="30" xfId="4" applyFont="1" applyFill="1" applyBorder="1" applyAlignment="1">
      <alignment horizontal="center" vertical="center"/>
    </xf>
    <xf numFmtId="0" fontId="130" fillId="10" borderId="18" xfId="4" applyFont="1" applyFill="1" applyBorder="1" applyAlignment="1">
      <alignment horizontal="center" vertical="center"/>
    </xf>
    <xf numFmtId="0" fontId="130" fillId="10" borderId="19" xfId="4" applyFont="1" applyFill="1" applyBorder="1" applyAlignment="1">
      <alignment horizontal="center" vertical="center"/>
    </xf>
    <xf numFmtId="0" fontId="136" fillId="10" borderId="19" xfId="4" applyFont="1" applyFill="1" applyBorder="1" applyAlignment="1">
      <alignment horizontal="center" vertical="center"/>
    </xf>
    <xf numFmtId="0" fontId="136" fillId="10" borderId="36" xfId="4" applyFont="1" applyFill="1" applyBorder="1" applyAlignment="1">
      <alignment horizontal="center" vertical="center"/>
    </xf>
    <xf numFmtId="0" fontId="128" fillId="10" borderId="33" xfId="4" applyFont="1" applyFill="1" applyBorder="1" applyAlignment="1">
      <alignment horizontal="center" vertical="center"/>
    </xf>
    <xf numFmtId="2" fontId="22" fillId="0" borderId="15" xfId="4" applyNumberFormat="1" applyFont="1" applyBorder="1" applyAlignment="1">
      <alignment horizontal="center"/>
    </xf>
    <xf numFmtId="2" fontId="22" fillId="0" borderId="33" xfId="4" applyNumberFormat="1" applyFont="1" applyBorder="1" applyAlignment="1">
      <alignment horizontal="center"/>
    </xf>
    <xf numFmtId="2" fontId="22" fillId="0" borderId="15" xfId="4" applyNumberFormat="1" applyFont="1" applyBorder="1"/>
    <xf numFmtId="10" fontId="179" fillId="0" borderId="33" xfId="11" applyNumberFormat="1" applyFont="1" applyBorder="1"/>
    <xf numFmtId="2" fontId="22" fillId="0" borderId="25" xfId="4" applyNumberFormat="1" applyFont="1" applyBorder="1"/>
    <xf numFmtId="10" fontId="180" fillId="0" borderId="26" xfId="11" applyNumberFormat="1" applyFont="1" applyBorder="1"/>
    <xf numFmtId="2" fontId="22" fillId="6" borderId="15" xfId="4" applyNumberFormat="1" applyFont="1" applyFill="1" applyBorder="1"/>
    <xf numFmtId="10" fontId="181" fillId="0" borderId="26" xfId="11" applyNumberFormat="1" applyFont="1" applyBorder="1"/>
    <xf numFmtId="10" fontId="181" fillId="6" borderId="26" xfId="11" applyNumberFormat="1" applyFont="1" applyFill="1" applyBorder="1"/>
    <xf numFmtId="2" fontId="22" fillId="0" borderId="33" xfId="4" applyNumberFormat="1" applyFont="1" applyBorder="1"/>
    <xf numFmtId="10" fontId="179" fillId="0" borderId="31" xfId="11" applyNumberFormat="1" applyFont="1" applyBorder="1"/>
    <xf numFmtId="0" fontId="41" fillId="0" borderId="58" xfId="4" applyFont="1" applyBorder="1" applyAlignment="1">
      <alignment horizontal="center"/>
    </xf>
    <xf numFmtId="0" fontId="41" fillId="0" borderId="45" xfId="4" applyFont="1" applyBorder="1" applyAlignment="1">
      <alignment horizontal="center"/>
    </xf>
    <xf numFmtId="0" fontId="21" fillId="10" borderId="46" xfId="4" applyFont="1" applyFill="1" applyBorder="1" applyAlignment="1">
      <alignment horizontal="center" vertical="center"/>
    </xf>
    <xf numFmtId="0" fontId="21" fillId="10" borderId="58" xfId="4" applyFont="1" applyFill="1" applyBorder="1" applyAlignment="1">
      <alignment horizontal="center" vertical="center"/>
    </xf>
    <xf numFmtId="0" fontId="72" fillId="0" borderId="58" xfId="4" applyFont="1" applyBorder="1" applyAlignment="1">
      <alignment horizontal="center"/>
    </xf>
    <xf numFmtId="0" fontId="72" fillId="0" borderId="45" xfId="4" applyFont="1" applyBorder="1" applyAlignment="1">
      <alignment horizontal="center"/>
    </xf>
    <xf numFmtId="2" fontId="72" fillId="0" borderId="58" xfId="4" applyNumberFormat="1" applyFont="1" applyBorder="1"/>
    <xf numFmtId="2" fontId="72" fillId="0" borderId="45" xfId="4" applyNumberFormat="1" applyFont="1" applyBorder="1"/>
    <xf numFmtId="0" fontId="78" fillId="0" borderId="30" xfId="1" applyFont="1" applyBorder="1" applyAlignment="1">
      <alignment horizontal="center" vertical="center"/>
    </xf>
    <xf numFmtId="0" fontId="130" fillId="0" borderId="30" xfId="1" applyFont="1" applyBorder="1" applyAlignment="1">
      <alignment horizontal="center" vertical="center"/>
    </xf>
    <xf numFmtId="2" fontId="182" fillId="0" borderId="30" xfId="1" applyNumberFormat="1" applyFont="1" applyBorder="1" applyAlignment="1">
      <alignment horizontal="center" vertical="center"/>
    </xf>
    <xf numFmtId="10" fontId="3" fillId="0" borderId="0" xfId="11" applyNumberFormat="1" applyFont="1"/>
    <xf numFmtId="0" fontId="183" fillId="0" borderId="0" xfId="1" applyFont="1" applyAlignment="1">
      <alignment horizontal="center" vertical="center"/>
    </xf>
    <xf numFmtId="10" fontId="0" fillId="0" borderId="0" xfId="11" applyNumberFormat="1" applyFont="1"/>
    <xf numFmtId="171" fontId="37" fillId="0" borderId="0" xfId="11" applyNumberFormat="1" applyFont="1"/>
    <xf numFmtId="10" fontId="37" fillId="0" borderId="59" xfId="11" applyNumberFormat="1" applyFont="1" applyBorder="1"/>
    <xf numFmtId="10" fontId="37" fillId="0" borderId="60" xfId="11" applyNumberFormat="1" applyFont="1" applyBorder="1"/>
    <xf numFmtId="10" fontId="37" fillId="0" borderId="61" xfId="11" applyNumberFormat="1" applyFont="1" applyBorder="1"/>
    <xf numFmtId="0" fontId="37" fillId="0" borderId="59" xfId="1" applyFont="1" applyBorder="1" applyAlignment="1">
      <alignment horizontal="center" vertical="center"/>
    </xf>
    <xf numFmtId="0" fontId="20" fillId="0" borderId="60" xfId="1" applyFont="1" applyBorder="1" applyAlignment="1">
      <alignment horizontal="center" vertical="center"/>
    </xf>
    <xf numFmtId="0" fontId="20" fillId="0" borderId="61" xfId="1" applyFont="1" applyBorder="1" applyAlignment="1">
      <alignment horizontal="center" vertical="center"/>
    </xf>
    <xf numFmtId="2" fontId="44" fillId="2" borderId="30" xfId="1" applyNumberFormat="1" applyFont="1" applyFill="1" applyBorder="1" applyAlignment="1">
      <alignment horizontal="center" vertical="center"/>
    </xf>
    <xf numFmtId="2" fontId="44" fillId="2" borderId="30" xfId="1" applyNumberFormat="1" applyFont="1" applyFill="1" applyBorder="1" applyAlignment="1">
      <alignment horizontal="center"/>
    </xf>
    <xf numFmtId="166" fontId="37" fillId="2" borderId="30" xfId="8" applyNumberFormat="1" applyFont="1" applyFill="1" applyBorder="1"/>
    <xf numFmtId="2" fontId="22" fillId="2" borderId="16" xfId="4" applyNumberFormat="1" applyFont="1" applyFill="1" applyBorder="1"/>
    <xf numFmtId="2" fontId="20" fillId="2" borderId="30" xfId="1" applyNumberFormat="1" applyFont="1" applyFill="1" applyBorder="1" applyAlignment="1">
      <alignment horizontal="center" vertical="center"/>
    </xf>
    <xf numFmtId="10" fontId="40" fillId="0" borderId="0" xfId="11" applyNumberFormat="1" applyFont="1" applyAlignment="1">
      <alignment horizontal="right"/>
    </xf>
    <xf numFmtId="2" fontId="126" fillId="2" borderId="16" xfId="0" applyNumberFormat="1" applyFont="1" applyFill="1" applyBorder="1" applyAlignment="1">
      <alignment horizontal="center" vertical="center"/>
    </xf>
    <xf numFmtId="2" fontId="156" fillId="2" borderId="33" xfId="0" applyNumberFormat="1" applyFont="1" applyFill="1" applyBorder="1" applyAlignment="1">
      <alignment horizontal="center" vertical="center" wrapText="1"/>
    </xf>
    <xf numFmtId="0" fontId="127" fillId="2" borderId="0" xfId="1" applyFont="1" applyFill="1" applyAlignment="1">
      <alignment vertical="center" wrapText="1"/>
    </xf>
    <xf numFmtId="0" fontId="127" fillId="2" borderId="0" xfId="1" applyFont="1" applyFill="1" applyAlignment="1">
      <alignment horizontal="center"/>
    </xf>
    <xf numFmtId="0" fontId="127" fillId="2" borderId="0" xfId="1" applyFont="1" applyFill="1"/>
    <xf numFmtId="166" fontId="84" fillId="2" borderId="33" xfId="2" quotePrefix="1" applyNumberFormat="1" applyFont="1" applyFill="1" applyBorder="1" applyAlignment="1">
      <alignment horizontal="center"/>
    </xf>
    <xf numFmtId="166" fontId="84" fillId="2" borderId="33" xfId="2" applyNumberFormat="1" applyFont="1" applyFill="1" applyBorder="1" applyAlignment="1">
      <alignment horizontal="center"/>
    </xf>
    <xf numFmtId="0" fontId="83" fillId="2" borderId="30" xfId="1" applyFont="1" applyFill="1" applyBorder="1" applyAlignment="1">
      <alignment horizontal="center"/>
    </xf>
    <xf numFmtId="0" fontId="37" fillId="2" borderId="30" xfId="1" applyFont="1" applyFill="1" applyBorder="1" applyAlignment="1">
      <alignment horizontal="center" vertical="center"/>
    </xf>
    <xf numFmtId="0" fontId="124" fillId="2" borderId="0" xfId="1" applyFont="1" applyFill="1" applyAlignment="1">
      <alignment horizontal="left"/>
    </xf>
    <xf numFmtId="0" fontId="31" fillId="0" borderId="0" xfId="1" applyFont="1" applyAlignment="1">
      <alignment horizontal="left" vertical="top" wrapText="1"/>
    </xf>
    <xf numFmtId="0" fontId="140" fillId="0" borderId="0" xfId="1" applyFont="1" applyAlignment="1">
      <alignment horizontal="justify" wrapText="1"/>
    </xf>
    <xf numFmtId="0" fontId="140" fillId="0" borderId="0" xfId="1" applyFont="1" applyAlignment="1">
      <alignment horizontal="center"/>
    </xf>
    <xf numFmtId="0" fontId="128" fillId="0" borderId="16" xfId="1" applyFont="1" applyBorder="1" applyAlignment="1">
      <alignment horizontal="left"/>
    </xf>
    <xf numFmtId="0" fontId="128" fillId="0" borderId="37" xfId="1" applyFont="1" applyBorder="1" applyAlignment="1">
      <alignment horizontal="left"/>
    </xf>
    <xf numFmtId="0" fontId="128" fillId="0" borderId="32" xfId="1" applyFont="1" applyBorder="1" applyAlignment="1">
      <alignment horizontal="left"/>
    </xf>
    <xf numFmtId="0" fontId="134" fillId="0" borderId="6" xfId="1" applyFont="1" applyBorder="1" applyAlignment="1">
      <alignment horizontal="center"/>
    </xf>
    <xf numFmtId="0" fontId="134" fillId="0" borderId="7" xfId="1" applyFont="1" applyBorder="1" applyAlignment="1">
      <alignment horizontal="center"/>
    </xf>
    <xf numFmtId="0" fontId="138" fillId="0" borderId="4" xfId="1" applyFont="1" applyBorder="1" applyAlignment="1">
      <alignment horizontal="center"/>
    </xf>
    <xf numFmtId="0" fontId="138" fillId="0" borderId="0" xfId="1" applyFont="1" applyAlignment="1">
      <alignment horizontal="center"/>
    </xf>
    <xf numFmtId="0" fontId="133" fillId="0" borderId="4" xfId="1" applyFont="1" applyBorder="1" applyAlignment="1">
      <alignment horizontal="center"/>
    </xf>
    <xf numFmtId="0" fontId="133" fillId="0" borderId="0" xfId="1" applyFont="1" applyAlignment="1">
      <alignment horizontal="center"/>
    </xf>
    <xf numFmtId="0" fontId="134" fillId="0" borderId="4" xfId="1" applyFont="1" applyBorder="1" applyAlignment="1">
      <alignment horizontal="center"/>
    </xf>
    <xf numFmtId="0" fontId="134" fillId="0" borderId="0" xfId="1" applyFont="1" applyAlignment="1">
      <alignment horizontal="center"/>
    </xf>
    <xf numFmtId="0" fontId="6" fillId="0" borderId="1" xfId="1" applyFont="1" applyBorder="1" applyAlignment="1">
      <alignment horizontal="center"/>
    </xf>
    <xf numFmtId="0" fontId="6" fillId="0" borderId="2" xfId="1" applyFont="1" applyBorder="1" applyAlignment="1">
      <alignment horizontal="center"/>
    </xf>
    <xf numFmtId="0" fontId="184" fillId="0" borderId="4" xfId="1" applyFont="1" applyBorder="1" applyAlignment="1">
      <alignment horizontal="center"/>
    </xf>
    <xf numFmtId="0" fontId="184" fillId="0" borderId="0" xfId="1" applyFont="1" applyAlignment="1">
      <alignment horizontal="center"/>
    </xf>
    <xf numFmtId="0" fontId="133" fillId="10" borderId="4" xfId="1" applyFont="1" applyFill="1" applyBorder="1" applyAlignment="1">
      <alignment horizontal="center" vertical="center" wrapText="1"/>
    </xf>
    <xf numFmtId="0" fontId="133" fillId="10" borderId="0" xfId="1" applyFont="1" applyFill="1" applyAlignment="1">
      <alignment horizontal="center" vertical="center" wrapText="1"/>
    </xf>
    <xf numFmtId="0" fontId="133" fillId="10" borderId="1" xfId="1" applyFont="1" applyFill="1" applyBorder="1" applyAlignment="1">
      <alignment horizontal="center" vertical="center" wrapText="1"/>
    </xf>
    <xf numFmtId="0" fontId="133" fillId="10" borderId="2" xfId="1" applyFont="1" applyFill="1" applyBorder="1" applyAlignment="1">
      <alignment horizontal="center" vertical="center" wrapText="1"/>
    </xf>
    <xf numFmtId="0" fontId="133" fillId="10" borderId="6" xfId="1" applyFont="1" applyFill="1" applyBorder="1" applyAlignment="1">
      <alignment horizontal="center" vertical="center" wrapText="1"/>
    </xf>
    <xf numFmtId="0" fontId="133" fillId="10" borderId="7" xfId="1" applyFont="1" applyFill="1" applyBorder="1" applyAlignment="1">
      <alignment horizontal="center" vertical="center" wrapText="1"/>
    </xf>
    <xf numFmtId="0" fontId="128" fillId="0" borderId="0" xfId="1" applyFont="1" applyAlignment="1">
      <alignment horizontal="justify" wrapText="1"/>
    </xf>
    <xf numFmtId="0" fontId="128" fillId="0" borderId="7" xfId="1" applyFont="1" applyBorder="1" applyAlignment="1">
      <alignment horizontal="center" vertical="center" wrapText="1"/>
    </xf>
    <xf numFmtId="0" fontId="130" fillId="0" borderId="6" xfId="1" applyFont="1" applyBorder="1" applyAlignment="1">
      <alignment horizontal="left" vertical="center" wrapText="1"/>
    </xf>
    <xf numFmtId="0" fontId="130" fillId="0" borderId="7" xfId="1" applyFont="1" applyBorder="1" applyAlignment="1">
      <alignment horizontal="left" vertical="center" wrapText="1"/>
    </xf>
    <xf numFmtId="0" fontId="130" fillId="0" borderId="8" xfId="1" applyFont="1" applyBorder="1" applyAlignment="1">
      <alignment horizontal="left" vertical="center" wrapText="1"/>
    </xf>
    <xf numFmtId="0" fontId="134" fillId="2" borderId="0" xfId="1" applyFont="1" applyFill="1" applyAlignment="1">
      <alignment horizontal="center" vertical="center" wrapText="1"/>
    </xf>
    <xf numFmtId="0" fontId="136" fillId="0" borderId="0" xfId="1" applyFont="1" applyAlignment="1">
      <alignment horizontal="left" vertical="top" wrapText="1"/>
    </xf>
    <xf numFmtId="0" fontId="170" fillId="0" borderId="0" xfId="1" applyFont="1" applyAlignment="1">
      <alignment horizontal="left" wrapText="1"/>
    </xf>
    <xf numFmtId="0" fontId="136" fillId="0" borderId="0" xfId="1" applyFont="1" applyAlignment="1">
      <alignment horizontal="left" wrapText="1"/>
    </xf>
    <xf numFmtId="0" fontId="134" fillId="2" borderId="1" xfId="1" applyFont="1" applyFill="1" applyBorder="1" applyAlignment="1">
      <alignment horizontal="center" vertical="center" wrapText="1"/>
    </xf>
    <xf numFmtId="0" fontId="134" fillId="2" borderId="2" xfId="1" applyFont="1" applyFill="1" applyBorder="1" applyAlignment="1">
      <alignment horizontal="center" vertical="center" wrapText="1"/>
    </xf>
    <xf numFmtId="0" fontId="134" fillId="2" borderId="3" xfId="1" applyFont="1" applyFill="1" applyBorder="1" applyAlignment="1">
      <alignment horizontal="center" vertical="center" wrapText="1"/>
    </xf>
    <xf numFmtId="0" fontId="134" fillId="2" borderId="0" xfId="1" applyFont="1" applyFill="1" applyAlignment="1">
      <alignment horizontal="center" vertical="center"/>
    </xf>
    <xf numFmtId="0" fontId="127" fillId="2" borderId="49" xfId="1" applyFont="1" applyFill="1" applyBorder="1" applyAlignment="1">
      <alignment horizontal="justify" wrapText="1"/>
    </xf>
    <xf numFmtId="0" fontId="127" fillId="2" borderId="0" xfId="1" applyFont="1" applyFill="1" applyAlignment="1">
      <alignment horizontal="justify" wrapText="1"/>
    </xf>
    <xf numFmtId="0" fontId="43" fillId="2" borderId="30" xfId="1" applyFont="1" applyFill="1" applyBorder="1" applyAlignment="1">
      <alignment horizontal="center" vertical="center" wrapText="1"/>
    </xf>
    <xf numFmtId="0" fontId="43" fillId="2" borderId="30" xfId="1" applyFont="1" applyFill="1" applyBorder="1" applyAlignment="1">
      <alignment horizontal="center"/>
    </xf>
    <xf numFmtId="0" fontId="37" fillId="0" borderId="0" xfId="1" applyFont="1" applyAlignment="1">
      <alignment horizontal="center" vertical="center" wrapText="1"/>
    </xf>
    <xf numFmtId="0" fontId="134" fillId="2" borderId="40" xfId="1" applyFont="1" applyFill="1" applyBorder="1" applyAlignment="1">
      <alignment horizontal="center" vertical="center"/>
    </xf>
    <xf numFmtId="0" fontId="134" fillId="2" borderId="41" xfId="1" applyFont="1" applyFill="1" applyBorder="1" applyAlignment="1">
      <alignment horizontal="center" vertical="center"/>
    </xf>
    <xf numFmtId="0" fontId="134" fillId="2" borderId="53" xfId="1" applyFont="1" applyFill="1" applyBorder="1" applyAlignment="1">
      <alignment horizontal="center" vertical="center"/>
    </xf>
    <xf numFmtId="0" fontId="134" fillId="2" borderId="21" xfId="1" applyFont="1" applyFill="1" applyBorder="1" applyAlignment="1">
      <alignment horizontal="center" vertical="center"/>
    </xf>
    <xf numFmtId="2" fontId="124" fillId="0" borderId="30" xfId="1" applyNumberFormat="1" applyFont="1" applyBorder="1" applyAlignment="1">
      <alignment horizontal="center" vertical="center" wrapText="1"/>
    </xf>
    <xf numFmtId="0" fontId="43" fillId="2" borderId="37" xfId="1" applyFont="1" applyFill="1" applyBorder="1" applyAlignment="1">
      <alignment horizontal="center" vertical="center" wrapText="1"/>
    </xf>
    <xf numFmtId="0" fontId="43" fillId="2" borderId="32" xfId="1" applyFont="1" applyFill="1" applyBorder="1" applyAlignment="1">
      <alignment horizontal="center" vertical="center" wrapText="1"/>
    </xf>
    <xf numFmtId="0" fontId="43" fillId="2" borderId="32" xfId="1" applyFont="1" applyFill="1" applyBorder="1" applyAlignment="1">
      <alignment horizontal="center"/>
    </xf>
    <xf numFmtId="2" fontId="129" fillId="2" borderId="23" xfId="1" applyNumberFormat="1" applyFont="1" applyFill="1" applyBorder="1" applyAlignment="1">
      <alignment horizontal="center" vertical="center" wrapText="1"/>
    </xf>
    <xf numFmtId="2" fontId="129" fillId="2" borderId="22" xfId="1" applyNumberFormat="1" applyFont="1" applyFill="1" applyBorder="1" applyAlignment="1">
      <alignment horizontal="center" vertical="center" wrapText="1"/>
    </xf>
    <xf numFmtId="2" fontId="129" fillId="2" borderId="28" xfId="1" applyNumberFormat="1" applyFont="1" applyFill="1" applyBorder="1" applyAlignment="1">
      <alignment horizontal="center" vertical="center" wrapText="1"/>
    </xf>
    <xf numFmtId="2" fontId="20" fillId="9" borderId="30" xfId="1" applyNumberFormat="1" applyFont="1" applyFill="1" applyBorder="1" applyAlignment="1">
      <alignment horizontal="center" vertical="center" wrapText="1"/>
    </xf>
    <xf numFmtId="166" fontId="123" fillId="8" borderId="33" xfId="2" applyNumberFormat="1" applyFont="1" applyFill="1" applyBorder="1" applyAlignment="1">
      <alignment horizontal="center" vertical="center" textRotation="90"/>
    </xf>
    <xf numFmtId="0" fontId="37" fillId="0" borderId="30" xfId="1" applyFont="1" applyBorder="1" applyAlignment="1">
      <alignment horizontal="center" vertical="center"/>
    </xf>
    <xf numFmtId="0" fontId="37" fillId="0" borderId="30" xfId="1" applyFont="1" applyBorder="1" applyAlignment="1">
      <alignment horizontal="center"/>
    </xf>
    <xf numFmtId="0" fontId="133" fillId="0" borderId="0" xfId="1" applyFont="1" applyAlignment="1">
      <alignment horizontal="center" vertical="center"/>
    </xf>
    <xf numFmtId="0" fontId="134" fillId="0" borderId="23" xfId="1" applyFont="1" applyBorder="1" applyAlignment="1">
      <alignment horizontal="center" vertical="center"/>
    </xf>
    <xf numFmtId="0" fontId="134" fillId="0" borderId="28" xfId="1" applyFont="1" applyBorder="1" applyAlignment="1">
      <alignment horizontal="center" vertical="center"/>
    </xf>
    <xf numFmtId="0" fontId="78" fillId="0" borderId="30" xfId="1" applyFont="1" applyBorder="1" applyAlignment="1">
      <alignment horizontal="center" vertical="center"/>
    </xf>
    <xf numFmtId="0" fontId="48" fillId="0" borderId="55" xfId="1" applyFont="1" applyBorder="1" applyAlignment="1">
      <alignment horizontal="center" vertical="center"/>
    </xf>
    <xf numFmtId="0" fontId="48" fillId="0" borderId="0" xfId="1" applyFont="1" applyAlignment="1">
      <alignment horizontal="center" vertical="center"/>
    </xf>
    <xf numFmtId="0" fontId="134" fillId="2" borderId="0" xfId="4" applyFont="1" applyFill="1" applyAlignment="1">
      <alignment horizontal="center" vertical="top"/>
    </xf>
    <xf numFmtId="0" fontId="95" fillId="10" borderId="36" xfId="0" applyFont="1" applyFill="1" applyBorder="1" applyAlignment="1">
      <alignment horizontal="center" vertical="center"/>
    </xf>
    <xf numFmtId="0" fontId="95" fillId="10" borderId="31" xfId="0" applyFont="1" applyFill="1" applyBorder="1" applyAlignment="1">
      <alignment horizontal="center" vertical="center"/>
    </xf>
    <xf numFmtId="0" fontId="21" fillId="10" borderId="18" xfId="4" applyFont="1" applyFill="1" applyBorder="1" applyAlignment="1">
      <alignment horizontal="center" vertical="center"/>
    </xf>
    <xf numFmtId="0" fontId="21" fillId="10" borderId="25" xfId="4" applyFont="1" applyFill="1" applyBorder="1" applyAlignment="1">
      <alignment horizontal="center" vertical="center"/>
    </xf>
    <xf numFmtId="0" fontId="21" fillId="10" borderId="19" xfId="4" applyFont="1" applyFill="1" applyBorder="1" applyAlignment="1">
      <alignment horizontal="center" vertical="center"/>
    </xf>
    <xf numFmtId="0" fontId="21" fillId="10" borderId="19" xfId="4" applyFont="1" applyFill="1" applyBorder="1" applyAlignment="1">
      <alignment horizontal="center" vertical="center" wrapText="1"/>
    </xf>
    <xf numFmtId="0" fontId="21" fillId="10" borderId="26" xfId="4" applyFont="1" applyFill="1" applyBorder="1" applyAlignment="1">
      <alignment horizontal="center" vertical="center" wrapText="1"/>
    </xf>
    <xf numFmtId="0" fontId="128" fillId="10" borderId="19" xfId="4" applyFont="1" applyFill="1" applyBorder="1" applyAlignment="1">
      <alignment horizontal="center" vertical="center"/>
    </xf>
    <xf numFmtId="0" fontId="178" fillId="0" borderId="0" xfId="4" applyFont="1" applyAlignment="1">
      <alignment horizontal="center"/>
    </xf>
    <xf numFmtId="0" fontId="48" fillId="10" borderId="15" xfId="4" applyFont="1" applyFill="1" applyBorder="1" applyAlignment="1">
      <alignment horizontal="center" vertical="center"/>
    </xf>
    <xf numFmtId="0" fontId="48" fillId="10" borderId="30" xfId="4" applyFont="1" applyFill="1" applyBorder="1" applyAlignment="1">
      <alignment horizontal="center" vertical="center"/>
    </xf>
    <xf numFmtId="0" fontId="21" fillId="10" borderId="46" xfId="4" applyFont="1" applyFill="1" applyBorder="1" applyAlignment="1">
      <alignment horizontal="center" vertical="center" wrapText="1"/>
    </xf>
    <xf numFmtId="0" fontId="21" fillId="10" borderId="58" xfId="4" applyFont="1" applyFill="1" applyBorder="1" applyAlignment="1">
      <alignment horizontal="center" vertical="center" wrapText="1"/>
    </xf>
    <xf numFmtId="0" fontId="95" fillId="10" borderId="46" xfId="0" applyFont="1" applyFill="1" applyBorder="1" applyAlignment="1">
      <alignment horizontal="center" vertical="center"/>
    </xf>
    <xf numFmtId="0" fontId="95" fillId="10" borderId="58" xfId="0" applyFont="1" applyFill="1" applyBorder="1" applyAlignment="1">
      <alignment horizontal="center" vertical="center"/>
    </xf>
    <xf numFmtId="0" fontId="130" fillId="0" borderId="15" xfId="1" applyFont="1" applyBorder="1" applyAlignment="1">
      <alignment horizontal="center" vertical="center"/>
    </xf>
    <xf numFmtId="0" fontId="48" fillId="0" borderId="30" xfId="1" applyFont="1" applyBorder="1" applyAlignment="1">
      <alignment horizontal="left" vertical="center"/>
    </xf>
    <xf numFmtId="0" fontId="140" fillId="0" borderId="30" xfId="1" applyFont="1" applyBorder="1" applyAlignment="1">
      <alignment horizontal="center" vertical="center"/>
    </xf>
    <xf numFmtId="0" fontId="134" fillId="2" borderId="5" xfId="1" applyFont="1" applyFill="1" applyBorder="1" applyAlignment="1">
      <alignment horizontal="center" vertical="center"/>
    </xf>
    <xf numFmtId="0" fontId="134" fillId="2" borderId="0" xfId="7" applyFont="1" applyFill="1" applyAlignment="1">
      <alignment horizontal="center" vertical="center"/>
    </xf>
    <xf numFmtId="0" fontId="128" fillId="10" borderId="18" xfId="7" applyFont="1" applyFill="1" applyBorder="1" applyAlignment="1">
      <alignment horizontal="center" vertical="center"/>
    </xf>
    <xf numFmtId="0" fontId="128" fillId="10" borderId="25" xfId="7" applyFont="1" applyFill="1" applyBorder="1" applyAlignment="1">
      <alignment horizontal="center" vertical="center"/>
    </xf>
    <xf numFmtId="0" fontId="128" fillId="10" borderId="19" xfId="7" applyFont="1" applyFill="1" applyBorder="1" applyAlignment="1">
      <alignment horizontal="center" vertical="center"/>
    </xf>
    <xf numFmtId="0" fontId="128" fillId="10" borderId="26" xfId="7" applyFont="1" applyFill="1" applyBorder="1" applyAlignment="1">
      <alignment horizontal="center" vertical="center"/>
    </xf>
    <xf numFmtId="0" fontId="128" fillId="10" borderId="36" xfId="7" applyFont="1" applyFill="1" applyBorder="1" applyAlignment="1">
      <alignment horizontal="center" vertical="center"/>
    </xf>
    <xf numFmtId="0" fontId="128" fillId="10" borderId="31" xfId="7" applyFont="1" applyFill="1" applyBorder="1" applyAlignment="1">
      <alignment horizontal="center" vertical="center"/>
    </xf>
    <xf numFmtId="0" fontId="134" fillId="2" borderId="44" xfId="1" applyFont="1" applyFill="1" applyBorder="1" applyAlignment="1">
      <alignment horizontal="center" vertical="center"/>
    </xf>
    <xf numFmtId="2" fontId="19" fillId="0" borderId="30" xfId="1" applyNumberFormat="1" applyFont="1" applyBorder="1" applyAlignment="1">
      <alignment horizontal="center" vertical="top" wrapText="1"/>
    </xf>
    <xf numFmtId="0" fontId="128" fillId="10" borderId="34" xfId="0" applyFont="1" applyFill="1" applyBorder="1" applyAlignment="1">
      <alignment horizontal="center" vertical="center"/>
    </xf>
    <xf numFmtId="0" fontId="128" fillId="10" borderId="13" xfId="0" applyFont="1" applyFill="1" applyBorder="1" applyAlignment="1">
      <alignment horizontal="center" vertical="center"/>
    </xf>
    <xf numFmtId="0" fontId="128" fillId="10" borderId="40" xfId="0" applyFont="1" applyFill="1" applyBorder="1" applyAlignment="1">
      <alignment horizontal="center" vertical="center"/>
    </xf>
    <xf numFmtId="0" fontId="128" fillId="10" borderId="12" xfId="0" applyFont="1" applyFill="1" applyBorder="1" applyAlignment="1">
      <alignment horizontal="center" vertical="center"/>
    </xf>
    <xf numFmtId="0" fontId="128" fillId="10" borderId="41" xfId="0" applyFont="1" applyFill="1" applyBorder="1" applyAlignment="1">
      <alignment horizontal="center" vertical="center"/>
    </xf>
    <xf numFmtId="0" fontId="128" fillId="10" borderId="28" xfId="0" applyFont="1" applyFill="1" applyBorder="1" applyAlignment="1">
      <alignment horizontal="center" vertical="center"/>
    </xf>
    <xf numFmtId="0" fontId="134" fillId="0" borderId="44" xfId="12" applyFont="1" applyBorder="1" applyAlignment="1">
      <alignment horizontal="center" vertical="center" wrapText="1"/>
    </xf>
    <xf numFmtId="0" fontId="134" fillId="0" borderId="0" xfId="12" applyFont="1" applyAlignment="1">
      <alignment horizontal="center" vertical="center" wrapText="1"/>
    </xf>
    <xf numFmtId="0" fontId="134" fillId="0" borderId="0" xfId="1" applyFont="1" applyAlignment="1">
      <alignment horizontal="center" vertical="center"/>
    </xf>
    <xf numFmtId="0" fontId="128" fillId="0" borderId="42" xfId="1" applyFont="1" applyBorder="1" applyAlignment="1">
      <alignment horizontal="center" vertical="center" textRotation="90"/>
    </xf>
    <xf numFmtId="0" fontId="128" fillId="0" borderId="24" xfId="1" applyFont="1" applyBorder="1" applyAlignment="1">
      <alignment horizontal="center" vertical="center" textRotation="90"/>
    </xf>
    <xf numFmtId="0" fontId="128" fillId="0" borderId="29" xfId="1" applyFont="1" applyBorder="1" applyAlignment="1">
      <alignment horizontal="center" vertical="center" textRotation="90"/>
    </xf>
    <xf numFmtId="1" fontId="31" fillId="0" borderId="30" xfId="1" applyNumberFormat="1" applyFont="1" applyBorder="1" applyAlignment="1">
      <alignment horizontal="left"/>
    </xf>
    <xf numFmtId="0" fontId="8" fillId="0" borderId="55" xfId="1" applyFont="1" applyBorder="1" applyAlignment="1">
      <alignment horizontal="center" vertical="center" wrapText="1"/>
    </xf>
    <xf numFmtId="2" fontId="14" fillId="0" borderId="30" xfId="1" applyNumberFormat="1" applyFont="1" applyBorder="1" applyAlignment="1">
      <alignment horizontal="left"/>
    </xf>
    <xf numFmtId="1" fontId="33" fillId="7" borderId="30" xfId="1" applyNumberFormat="1" applyFont="1" applyFill="1" applyBorder="1" applyAlignment="1">
      <alignment horizontal="left" vertical="center"/>
    </xf>
    <xf numFmtId="1" fontId="14" fillId="7" borderId="30" xfId="1" applyNumberFormat="1" applyFont="1" applyFill="1" applyBorder="1" applyAlignment="1">
      <alignment horizontal="left" vertical="center"/>
    </xf>
    <xf numFmtId="0" fontId="120" fillId="0" borderId="33" xfId="0" applyFont="1" applyBorder="1" applyAlignment="1">
      <alignment horizontal="center" vertical="center" textRotation="90"/>
    </xf>
    <xf numFmtId="0" fontId="120" fillId="0" borderId="31" xfId="0" applyFont="1" applyBorder="1" applyAlignment="1">
      <alignment horizontal="center" vertical="center" textRotation="90"/>
    </xf>
    <xf numFmtId="0" fontId="149" fillId="2" borderId="0" xfId="5" applyFont="1" applyFill="1" applyAlignment="1">
      <alignment horizontal="center" wrapText="1"/>
    </xf>
    <xf numFmtId="0" fontId="155" fillId="10" borderId="19" xfId="5" applyFont="1" applyFill="1" applyBorder="1" applyAlignment="1">
      <alignment horizontal="center" vertical="center" wrapText="1"/>
    </xf>
    <xf numFmtId="0" fontId="120" fillId="0" borderId="30" xfId="0" applyFont="1" applyBorder="1" applyAlignment="1">
      <alignment horizontal="center" vertical="center" textRotation="90"/>
    </xf>
    <xf numFmtId="0" fontId="120" fillId="0" borderId="26" xfId="0" applyFont="1" applyBorder="1" applyAlignment="1">
      <alignment horizontal="center" vertical="center" textRotation="90"/>
    </xf>
    <xf numFmtId="0" fontId="81" fillId="10" borderId="18" xfId="5" applyFont="1" applyFill="1" applyBorder="1" applyAlignment="1">
      <alignment horizontal="center" vertical="center"/>
    </xf>
    <xf numFmtId="0" fontId="81" fillId="10" borderId="15" xfId="5" applyFont="1" applyFill="1" applyBorder="1" applyAlignment="1">
      <alignment horizontal="center" vertical="center"/>
    </xf>
    <xf numFmtId="0" fontId="81" fillId="10" borderId="19" xfId="5" applyFont="1" applyFill="1" applyBorder="1" applyAlignment="1">
      <alignment horizontal="center" vertical="center" wrapText="1"/>
    </xf>
    <xf numFmtId="0" fontId="81" fillId="10" borderId="30" xfId="5" applyFont="1" applyFill="1" applyBorder="1" applyAlignment="1">
      <alignment horizontal="center" vertical="center" wrapText="1"/>
    </xf>
    <xf numFmtId="2" fontId="132" fillId="10" borderId="19" xfId="1" applyNumberFormat="1" applyFont="1" applyFill="1" applyBorder="1" applyAlignment="1">
      <alignment horizontal="center" vertical="center"/>
    </xf>
    <xf numFmtId="0" fontId="149" fillId="2" borderId="0" xfId="5" applyFont="1" applyFill="1" applyAlignment="1">
      <alignment horizontal="center" vertical="center" wrapText="1"/>
    </xf>
    <xf numFmtId="0" fontId="128" fillId="2" borderId="0" xfId="1" applyFont="1" applyFill="1" applyAlignment="1">
      <alignment horizontal="center" vertical="center" wrapText="1"/>
    </xf>
    <xf numFmtId="2" fontId="126" fillId="0" borderId="16" xfId="0" applyNumberFormat="1" applyFont="1" applyBorder="1" applyAlignment="1">
      <alignment horizontal="center" vertical="center"/>
    </xf>
    <xf numFmtId="0" fontId="126" fillId="0" borderId="32" xfId="0" applyFont="1" applyBorder="1" applyAlignment="1">
      <alignment horizontal="center" vertical="center"/>
    </xf>
    <xf numFmtId="0" fontId="167" fillId="0" borderId="26" xfId="0" applyFont="1" applyBorder="1" applyAlignment="1">
      <alignment horizontal="center"/>
    </xf>
    <xf numFmtId="0" fontId="2" fillId="0" borderId="26" xfId="0" applyFont="1" applyBorder="1" applyAlignment="1">
      <alignment horizontal="center"/>
    </xf>
    <xf numFmtId="2" fontId="126" fillId="0" borderId="26" xfId="0" applyNumberFormat="1" applyFont="1" applyBorder="1" applyAlignment="1">
      <alignment horizontal="center" vertical="center"/>
    </xf>
    <xf numFmtId="0" fontId="126" fillId="0" borderId="26" xfId="0" applyFont="1" applyBorder="1" applyAlignment="1">
      <alignment horizontal="center" vertical="center"/>
    </xf>
    <xf numFmtId="2" fontId="126" fillId="0" borderId="32" xfId="0" applyNumberFormat="1" applyFont="1" applyBorder="1" applyAlignment="1">
      <alignment horizontal="center" vertical="center"/>
    </xf>
    <xf numFmtId="2" fontId="126" fillId="2" borderId="30" xfId="0" applyNumberFormat="1" applyFont="1" applyFill="1" applyBorder="1" applyAlignment="1">
      <alignment horizontal="center" vertical="center" wrapText="1"/>
    </xf>
    <xf numFmtId="2" fontId="126" fillId="0" borderId="30" xfId="0" applyNumberFormat="1" applyFont="1" applyBorder="1" applyAlignment="1">
      <alignment horizontal="center" vertical="center"/>
    </xf>
    <xf numFmtId="0" fontId="126" fillId="0" borderId="30" xfId="0" applyFont="1" applyBorder="1" applyAlignment="1">
      <alignment horizontal="center" vertical="center"/>
    </xf>
    <xf numFmtId="2" fontId="131" fillId="12" borderId="16" xfId="0" applyNumberFormat="1" applyFont="1" applyFill="1" applyBorder="1" applyAlignment="1">
      <alignment horizontal="center" vertical="center"/>
    </xf>
    <xf numFmtId="2" fontId="131" fillId="12" borderId="32" xfId="0" applyNumberFormat="1" applyFont="1" applyFill="1" applyBorder="1" applyAlignment="1">
      <alignment horizontal="center" vertical="center"/>
    </xf>
    <xf numFmtId="2" fontId="126" fillId="2" borderId="16" xfId="0" applyNumberFormat="1" applyFont="1" applyFill="1" applyBorder="1" applyAlignment="1">
      <alignment horizontal="center" vertical="center" wrapText="1"/>
    </xf>
    <xf numFmtId="2" fontId="126" fillId="2" borderId="32" xfId="0" applyNumberFormat="1" applyFont="1" applyFill="1" applyBorder="1" applyAlignment="1">
      <alignment horizontal="center" vertical="center" wrapText="1"/>
    </xf>
    <xf numFmtId="0" fontId="131" fillId="12" borderId="16" xfId="0" applyFont="1" applyFill="1" applyBorder="1" applyAlignment="1">
      <alignment horizontal="center" vertical="center"/>
    </xf>
    <xf numFmtId="0" fontId="131" fillId="12" borderId="32" xfId="0" applyFont="1" applyFill="1" applyBorder="1" applyAlignment="1">
      <alignment horizontal="center" vertical="center"/>
    </xf>
    <xf numFmtId="0" fontId="150" fillId="10" borderId="19" xfId="0" applyFont="1" applyFill="1" applyBorder="1" applyAlignment="1">
      <alignment horizontal="center" vertical="center" wrapText="1"/>
    </xf>
    <xf numFmtId="168" fontId="149" fillId="0" borderId="0" xfId="0" applyNumberFormat="1" applyFont="1" applyAlignment="1">
      <alignment horizontal="center"/>
    </xf>
    <xf numFmtId="0" fontId="126" fillId="2" borderId="16" xfId="0" applyFont="1" applyFill="1" applyBorder="1" applyAlignment="1">
      <alignment horizontal="center" vertical="center"/>
    </xf>
    <xf numFmtId="0" fontId="126" fillId="2" borderId="32" xfId="0" applyFont="1" applyFill="1" applyBorder="1" applyAlignment="1">
      <alignment horizontal="center" vertical="center"/>
    </xf>
    <xf numFmtId="0" fontId="149" fillId="0" borderId="0" xfId="0" applyFont="1" applyAlignment="1">
      <alignment horizontal="center"/>
    </xf>
    <xf numFmtId="0" fontId="33" fillId="3" borderId="36" xfId="1" applyFont="1" applyFill="1" applyBorder="1" applyAlignment="1">
      <alignment horizontal="center" vertical="center"/>
    </xf>
    <xf numFmtId="0" fontId="33" fillId="3" borderId="31" xfId="1" applyFont="1" applyFill="1" applyBorder="1" applyAlignment="1">
      <alignment horizontal="center" vertical="center"/>
    </xf>
    <xf numFmtId="0" fontId="11" fillId="2" borderId="7" xfId="1" applyFont="1" applyFill="1" applyBorder="1" applyAlignment="1">
      <alignment horizontal="center" vertical="center" wrapText="1"/>
    </xf>
    <xf numFmtId="0" fontId="33" fillId="3" borderId="18" xfId="1" applyFont="1" applyFill="1" applyBorder="1" applyAlignment="1">
      <alignment horizontal="center" vertical="center" wrapText="1"/>
    </xf>
    <xf numFmtId="0" fontId="33" fillId="3" borderId="25" xfId="1" applyFont="1" applyFill="1" applyBorder="1" applyAlignment="1">
      <alignment horizontal="center" vertical="center" wrapText="1"/>
    </xf>
    <xf numFmtId="0" fontId="33" fillId="3" borderId="19" xfId="1" applyFont="1" applyFill="1" applyBorder="1" applyAlignment="1">
      <alignment horizontal="center" vertical="center"/>
    </xf>
    <xf numFmtId="0" fontId="33" fillId="3" borderId="26" xfId="1" applyFont="1" applyFill="1" applyBorder="1" applyAlignment="1">
      <alignment horizontal="center" vertical="center"/>
    </xf>
    <xf numFmtId="0" fontId="33" fillId="3" borderId="35" xfId="1" applyFont="1" applyFill="1" applyBorder="1" applyAlignment="1">
      <alignment horizontal="center" vertical="center" wrapText="1"/>
    </xf>
    <xf numFmtId="0" fontId="33" fillId="3" borderId="20" xfId="1" applyFont="1" applyFill="1" applyBorder="1" applyAlignment="1">
      <alignment horizontal="center" vertical="center" wrapText="1"/>
    </xf>
    <xf numFmtId="0" fontId="33" fillId="3" borderId="43" xfId="1" applyFont="1" applyFill="1" applyBorder="1" applyAlignment="1">
      <alignment horizontal="center" vertical="center" wrapText="1"/>
    </xf>
    <xf numFmtId="2" fontId="21" fillId="0" borderId="21" xfId="4" applyNumberFormat="1" applyFont="1" applyBorder="1" applyAlignment="1">
      <alignment horizontal="center" vertical="center" textRotation="90"/>
    </xf>
    <xf numFmtId="2" fontId="21" fillId="0" borderId="24" xfId="4" applyNumberFormat="1" applyFont="1" applyBorder="1" applyAlignment="1">
      <alignment horizontal="center" vertical="center" textRotation="90"/>
    </xf>
    <xf numFmtId="2" fontId="21" fillId="0" borderId="27" xfId="4" applyNumberFormat="1" applyFont="1" applyBorder="1" applyAlignment="1">
      <alignment horizontal="center" vertical="center" textRotation="90"/>
    </xf>
    <xf numFmtId="0" fontId="64" fillId="2" borderId="7" xfId="4" applyFont="1" applyFill="1" applyBorder="1" applyAlignment="1">
      <alignment horizontal="center" vertical="center"/>
    </xf>
    <xf numFmtId="0" fontId="21" fillId="4" borderId="18" xfId="4" applyFont="1" applyFill="1" applyBorder="1" applyAlignment="1">
      <alignment horizontal="center" vertical="center"/>
    </xf>
    <xf numFmtId="0" fontId="21" fillId="4" borderId="25" xfId="4" applyFont="1" applyFill="1" applyBorder="1" applyAlignment="1">
      <alignment horizontal="center" vertical="center"/>
    </xf>
    <xf numFmtId="0" fontId="21" fillId="4" borderId="19" xfId="4" applyFont="1" applyFill="1" applyBorder="1" applyAlignment="1">
      <alignment horizontal="center" vertical="center"/>
    </xf>
    <xf numFmtId="0" fontId="21" fillId="4" borderId="19" xfId="4" applyFont="1" applyFill="1" applyBorder="1" applyAlignment="1">
      <alignment horizontal="center" vertical="center" wrapText="1"/>
    </xf>
    <xf numFmtId="0" fontId="21" fillId="4" borderId="26" xfId="4" applyFont="1" applyFill="1" applyBorder="1" applyAlignment="1">
      <alignment horizontal="center" vertical="center" wrapText="1"/>
    </xf>
    <xf numFmtId="0" fontId="21" fillId="4" borderId="36" xfId="4" applyFont="1" applyFill="1" applyBorder="1" applyAlignment="1">
      <alignment horizontal="center" vertical="center"/>
    </xf>
    <xf numFmtId="0" fontId="21" fillId="4" borderId="31" xfId="4" applyFont="1" applyFill="1" applyBorder="1" applyAlignment="1">
      <alignment horizontal="center" vertical="center"/>
    </xf>
  </cellXfs>
  <cellStyles count="14">
    <cellStyle name="Comma" xfId="8" builtinId="3"/>
    <cellStyle name="Comma 2" xfId="2" xr:uid="{00000000-0005-0000-0000-000001000000}"/>
    <cellStyle name="Comma 2 2" xfId="13" xr:uid="{538D0A62-682B-4D42-860A-205545D44830}"/>
    <cellStyle name="Comma 3" xfId="10" xr:uid="{00000000-0005-0000-0000-000002000000}"/>
    <cellStyle name="Hyperlink" xfId="6" builtinId="8"/>
    <cellStyle name="Normal" xfId="0" builtinId="0"/>
    <cellStyle name="Normal 2" xfId="1" xr:uid="{00000000-0005-0000-0000-000005000000}"/>
    <cellStyle name="Normal 2 2" xfId="3" xr:uid="{00000000-0005-0000-0000-000006000000}"/>
    <cellStyle name="Normal 2 2 2" xfId="7" xr:uid="{00000000-0005-0000-0000-000007000000}"/>
    <cellStyle name="Normal 2 3" xfId="5" xr:uid="{00000000-0005-0000-0000-000008000000}"/>
    <cellStyle name="Normal 2 3 2" xfId="12" xr:uid="{00000000-0005-0000-0000-000009000000}"/>
    <cellStyle name="Normal 3" xfId="4" xr:uid="{00000000-0005-0000-0000-00000A000000}"/>
    <cellStyle name="Normal 4" xfId="9" xr:uid="{00000000-0005-0000-0000-00000B000000}"/>
    <cellStyle name="Percent" xfId="11" builtinId="5"/>
  </cellStyles>
  <dxfs count="3">
    <dxf>
      <font>
        <b/>
        <i val="0"/>
        <color rgb="FFFF0000"/>
      </font>
      <fill>
        <patternFill patternType="none">
          <bgColor indexed="65"/>
        </patternFill>
      </fill>
    </dxf>
    <dxf>
      <font>
        <b/>
        <i val="0"/>
        <color rgb="FF00B050"/>
      </font>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144780</xdr:colOff>
      <xdr:row>1</xdr:row>
      <xdr:rowOff>68580</xdr:rowOff>
    </xdr:from>
    <xdr:to>
      <xdr:col>5</xdr:col>
      <xdr:colOff>490220</xdr:colOff>
      <xdr:row>5</xdr:row>
      <xdr:rowOff>16510</xdr:rowOff>
    </xdr:to>
    <xdr:pic>
      <xdr:nvPicPr>
        <xdr:cNvPr id="2" name="Picture 1">
          <a:extLst>
            <a:ext uri="{FF2B5EF4-FFF2-40B4-BE49-F238E27FC236}">
              <a16:creationId xmlns:a16="http://schemas.microsoft.com/office/drawing/2014/main" id="{BE8B5167-E08B-4EDD-AC5C-7947D93583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05100" y="342900"/>
          <a:ext cx="993140" cy="923290"/>
        </a:xfrm>
        <a:prstGeom prst="rect">
          <a:avLst/>
        </a:prstGeom>
      </xdr:spPr>
    </xdr:pic>
    <xdr:clientData/>
  </xdr:twoCellAnchor>
  <xdr:twoCellAnchor>
    <xdr:from>
      <xdr:col>5</xdr:col>
      <xdr:colOff>114300</xdr:colOff>
      <xdr:row>15</xdr:row>
      <xdr:rowOff>175260</xdr:rowOff>
    </xdr:from>
    <xdr:to>
      <xdr:col>5</xdr:col>
      <xdr:colOff>121920</xdr:colOff>
      <xdr:row>24</xdr:row>
      <xdr:rowOff>403860</xdr:rowOff>
    </xdr:to>
    <xdr:cxnSp macro="">
      <xdr:nvCxnSpPr>
        <xdr:cNvPr id="4" name="Straight Connector 3">
          <a:extLst>
            <a:ext uri="{FF2B5EF4-FFF2-40B4-BE49-F238E27FC236}">
              <a16:creationId xmlns:a16="http://schemas.microsoft.com/office/drawing/2014/main" id="{CD2F1A62-73EC-2C20-7F3C-4E5DECD6FD0C}"/>
            </a:ext>
          </a:extLst>
        </xdr:cNvPr>
        <xdr:cNvCxnSpPr/>
      </xdr:nvCxnSpPr>
      <xdr:spPr>
        <a:xfrm flipH="1">
          <a:off x="3322320" y="5181600"/>
          <a:ext cx="7620" cy="242316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624840</xdr:colOff>
      <xdr:row>17</xdr:row>
      <xdr:rowOff>114300</xdr:rowOff>
    </xdr:from>
    <xdr:to>
      <xdr:col>4</xdr:col>
      <xdr:colOff>0</xdr:colOff>
      <xdr:row>24</xdr:row>
      <xdr:rowOff>160020</xdr:rowOff>
    </xdr:to>
    <xdr:cxnSp macro="">
      <xdr:nvCxnSpPr>
        <xdr:cNvPr id="6" name="Straight Connector 5">
          <a:extLst>
            <a:ext uri="{FF2B5EF4-FFF2-40B4-BE49-F238E27FC236}">
              <a16:creationId xmlns:a16="http://schemas.microsoft.com/office/drawing/2014/main" id="{D63DB4E5-2333-43A4-BE4C-83E4F2680A80}"/>
            </a:ext>
          </a:extLst>
        </xdr:cNvPr>
        <xdr:cNvCxnSpPr/>
      </xdr:nvCxnSpPr>
      <xdr:spPr>
        <a:xfrm flipH="1">
          <a:off x="2545080" y="5608320"/>
          <a:ext cx="15240" cy="175260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213360</xdr:colOff>
      <xdr:row>17</xdr:row>
      <xdr:rowOff>175260</xdr:rowOff>
    </xdr:from>
    <xdr:to>
      <xdr:col>6</xdr:col>
      <xdr:colOff>220980</xdr:colOff>
      <xdr:row>24</xdr:row>
      <xdr:rowOff>152400</xdr:rowOff>
    </xdr:to>
    <xdr:cxnSp macro="">
      <xdr:nvCxnSpPr>
        <xdr:cNvPr id="7" name="Straight Connector 6">
          <a:extLst>
            <a:ext uri="{FF2B5EF4-FFF2-40B4-BE49-F238E27FC236}">
              <a16:creationId xmlns:a16="http://schemas.microsoft.com/office/drawing/2014/main" id="{8A56E45E-F034-4D9F-9FEF-94777187794F}"/>
            </a:ext>
          </a:extLst>
        </xdr:cNvPr>
        <xdr:cNvCxnSpPr/>
      </xdr:nvCxnSpPr>
      <xdr:spPr>
        <a:xfrm flipH="1">
          <a:off x="4061460" y="5669280"/>
          <a:ext cx="7620" cy="168402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Rate%20Analysis%20076-77/Palpa%2069-70/Rate%20Analysis%2069-70/SKumar/DTO/WS%20063-064/Civil%20works%20estimates/Civil%20works%20estimates/Bhim/Bhim/Khanepani/Design.xls?F656ED7E" TargetMode="External"/><Relationship Id="rId1" Type="http://schemas.openxmlformats.org/officeDocument/2006/relationships/externalLinkPath" Target="file:///\\F656ED7E\Desig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Analysis\Rate%20bardaghat%20municipality%202073-2074%20%20for%20contract\rate%20Lamjung%20067,68.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Rate%20Analysis%20076-77/Palpa%2069-70/Rate%20Analysis%2069-70/Rate%20Analysis66-67/Documents%20and%20Settings/Manoj/Desktop/Skumar/DTO/Water%20Supply/Civil%20works%20estimates/Water%20Supply(Khanepani).xls?BC49EBC3" TargetMode="External"/><Relationship Id="rId1" Type="http://schemas.openxmlformats.org/officeDocument/2006/relationships/externalLinkPath" Target="file:///\\BC49EBC3\Water%20Supply(Khanepan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te%20Analysis%20076-77/Palpa%2069-70/Rate%20Analysis%2069-70/Skumar/DTO/Water%20Supply/Civil%20works%20estimates/Water%20Supply(Khanepan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te%20Analysis%20076-77/Palpa%2069-70/Rate%20Analysis%2069-70/Skumar/DTO/Narayansthan-mison%20road/Final%20Est.&amp;%20Abs.NM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ate%20Analysis%20076-77/Palpa%2069-70/Rate%20Analysis%2069-70/DTO/Water%20Supply/Civil%20works%20estimates/Civil%20works%20estimates/Bhim/Bhim/Khanepani/Desig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nalysis\Rate%20bardaghat%20municipality%202073-2074%20%20for%20contract\067-68\HEALTH%20BLDG\Bansar\Estimate\rate%20Lamjung%20bansar%20067,68.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Rate%20Analysis%20076-77/Palpa%2069-70/Rate%20Analysis%2069-70/SKumar/DTO/Water%20supply/WS%20063-064/Civil%20works%20estimates/Civil%20works%20estimates/Bhim/Bhim/Khanepani/Water%20Supply(Khanepani).xls?C6AC7152" TargetMode="External"/><Relationship Id="rId1" Type="http://schemas.openxmlformats.org/officeDocument/2006/relationships/externalLinkPath" Target="file:///\\C6AC7152\Water%20Supply(Khanepani).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Rate%20Analysis%20076-77/Palpa%2069-70/Rate%20Analysis%2069-70/SKumar/DTO/Water%20supply/WS%20063-064/Civil%20works%20estimates/Civil%20works%20estimates/Bhim/Bhim/Khanepani/Design.xls?C6AC7152" TargetMode="External"/><Relationship Id="rId1" Type="http://schemas.openxmlformats.org/officeDocument/2006/relationships/externalLinkPath" Target="file:///\\C6AC7152\Desig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ate%20Analysis%20076-77/Palpa%2069-70/Rate%20Analysis%2069-70/Water%20Supply%202065-66/Bhim/Bhim/Khanepani/Water%20Supply(Desig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Rate%20Analysis%20076-77/Palpa%2069-70/Rate%20Analysis%2069-70/Bhim/Bhim/Khanepani/Water%20Supply(Desig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Analysis\Rate%20bardaghat%20municipality%202073-2074%20%20for%20contract\6.surface%20drai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Rate%20Analysis%20076-77/Palpa%2069-70/Rate%20Analysis%2069-70/SKumar/DTO/WS%20063-064/Civil%20works%20estimates/Bhim/Bhim/Khanepani/Water%20Supply(Khanepan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ate%20Analysis%20076-77/Palpa%2069-70/Rate%20Analysis%2069-70/Water%20Supply%202065-66/Madanpokhara%20%20lift%20w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Users\user\Desktop\Tarkughat%20HP,%20Lamjung\rate%20lamjung%20tarkughat%20070-71.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Rate%20Analysis%20076-77/Palpa%2069-70/Rate%20Analysis%2069-70/SKumar/DTO/WS%20063-064/Civil%20works%20estimates/Civil%20works%20estimates/Bhim/Bhim/Khanepani/Water%20Supply(Khanepani).xls?F656ED7E" TargetMode="External"/><Relationship Id="rId1" Type="http://schemas.openxmlformats.org/officeDocument/2006/relationships/externalLinkPath" Target="file:///\\F656ED7E\Water%20Supply(Khanepani).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nalysis\Rate%20bardaghat%20municipality%202073-2074%20%20for%20contract\ticket%20counter%20basisahar.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nalysis\Rate%20bardaghat%20municipality%202073-2074%20%20for%20contract\067-68\67-68%20Rate%20Analysis%20Kathmandu\Civil%20rate%20Analysis%202067-2068%20KTM.xls" TargetMode="External"/></Relationships>
</file>

<file path=xl/externalLinks/_rels/externalLink19.xml.rels><?xml version="1.0" encoding="UTF-8" standalone="yes"?>
<Relationships xmlns="http://schemas.openxmlformats.org/package/2006/relationships"><Relationship Id="rId2" Type="http://schemas.microsoft.com/office/2019/04/relationships/externalLinkLongPath" Target="Rate%20Analysis%20076-77/Palpa%2069-70/Rate%20Analysis%2069-70/Rate%20Analysis66-67/Documents%20and%20Settings/Manoj/Desktop/Skumar/DTO/Narayansthan-mison%20road/Final%20Est.&amp;%20Abs.NMR.xls?287F902F" TargetMode="External"/><Relationship Id="rId1" Type="http://schemas.openxmlformats.org/officeDocument/2006/relationships/externalLinkPath" Target="file:///\\287F902F\Final%20Est.&amp;%20Abs.NM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
      <sheetName val="Features"/>
      <sheetName val="Dmand 2"/>
      <sheetName val="Dmand 1"/>
      <sheetName val="ProfileData"/>
      <sheetName val="PipeDesign"/>
      <sheetName val="PipeLineWork"/>
      <sheetName val="PipeList"/>
      <sheetName val="PFdata"/>
      <sheetName val="PD-TMPLT"/>
      <sheetName val="FitData"/>
      <sheetName val="DrawingControls"/>
      <sheetName val="Profile"/>
      <sheetName val="FlowDiagram"/>
      <sheetName val="Fittings"/>
      <sheetName val="T&amp;P"/>
      <sheetName val="Summary"/>
    </sheetNames>
    <sheetDataSet>
      <sheetData sheetId="0">
        <row r="5">
          <cell r="E5" t="str">
            <v>Simpani W/S Project</v>
          </cell>
        </row>
      </sheetData>
      <sheetData sheetId="1"/>
      <sheetData sheetId="2"/>
      <sheetData sheetId="3"/>
      <sheetData sheetId="4"/>
      <sheetData sheetId="5">
        <row r="25">
          <cell r="D25">
            <v>250</v>
          </cell>
        </row>
        <row r="26">
          <cell r="D26">
            <v>260</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Rate"/>
      <sheetName val="Table of Content"/>
      <sheetName val="Update Descrip"/>
      <sheetName val="Sheet1"/>
      <sheetName val="rate Lamjung 067,68"/>
    </sheetNames>
    <sheetDataSet>
      <sheetData sheetId="0">
        <row r="6">
          <cell r="E6">
            <v>415</v>
          </cell>
        </row>
        <row r="40">
          <cell r="E40">
            <v>8640</v>
          </cell>
        </row>
        <row r="42">
          <cell r="E42">
            <v>0</v>
          </cell>
        </row>
        <row r="44">
          <cell r="E44">
            <v>68500</v>
          </cell>
        </row>
        <row r="46">
          <cell r="E46">
            <v>90</v>
          </cell>
        </row>
        <row r="47">
          <cell r="E47">
            <v>120</v>
          </cell>
        </row>
        <row r="50">
          <cell r="E50">
            <v>70575.100000000006</v>
          </cell>
        </row>
        <row r="52">
          <cell r="E52">
            <v>28230.04</v>
          </cell>
        </row>
        <row r="54">
          <cell r="E54">
            <v>0</v>
          </cell>
        </row>
        <row r="55">
          <cell r="E55">
            <v>45</v>
          </cell>
        </row>
        <row r="58">
          <cell r="E58">
            <v>25</v>
          </cell>
        </row>
        <row r="59">
          <cell r="E59">
            <v>27</v>
          </cell>
        </row>
        <row r="60">
          <cell r="E60">
            <v>16</v>
          </cell>
        </row>
        <row r="61">
          <cell r="E61">
            <v>28</v>
          </cell>
        </row>
        <row r="62">
          <cell r="E62">
            <v>28</v>
          </cell>
        </row>
        <row r="63">
          <cell r="E63">
            <v>28</v>
          </cell>
        </row>
        <row r="64">
          <cell r="E64">
            <v>150</v>
          </cell>
        </row>
        <row r="65">
          <cell r="E65">
            <v>550</v>
          </cell>
        </row>
        <row r="66">
          <cell r="E66">
            <v>160</v>
          </cell>
        </row>
        <row r="67">
          <cell r="E67">
            <v>250</v>
          </cell>
        </row>
        <row r="74">
          <cell r="E74">
            <v>0</v>
          </cell>
        </row>
        <row r="77">
          <cell r="E77">
            <v>450</v>
          </cell>
        </row>
        <row r="78">
          <cell r="E78">
            <v>500</v>
          </cell>
        </row>
        <row r="79">
          <cell r="E79">
            <v>720</v>
          </cell>
        </row>
        <row r="80">
          <cell r="E80">
            <v>800</v>
          </cell>
        </row>
        <row r="82">
          <cell r="E82">
            <v>45</v>
          </cell>
        </row>
        <row r="86">
          <cell r="E86">
            <v>0</v>
          </cell>
        </row>
        <row r="87">
          <cell r="E87">
            <v>398.63</v>
          </cell>
        </row>
        <row r="164">
          <cell r="E164">
            <v>9</v>
          </cell>
        </row>
        <row r="165">
          <cell r="E165">
            <v>9</v>
          </cell>
        </row>
      </sheetData>
      <sheetData sheetId="1">
        <row r="12">
          <cell r="B12" t="str">
            <v xml:space="preserve">;fO{6 ;kmf ug]{ sfd ==========================================================================================   </v>
          </cell>
          <cell r="C12" t="str">
            <v xml:space="preserve"> #</v>
          </cell>
          <cell r="D12" t="str">
            <v>?=</v>
          </cell>
          <cell r="E12">
            <v>18.97</v>
          </cell>
          <cell r="F12" t="str">
            <v>j=dL=</v>
          </cell>
          <cell r="G12">
            <v>7</v>
          </cell>
        </row>
        <row r="16">
          <cell r="B16" t="str">
            <v>g/d k|sf/sf] df6f] vGg] sfd ===============================================================================</v>
          </cell>
          <cell r="C16" t="str">
            <v xml:space="preserve"> #</v>
          </cell>
          <cell r="D16" t="str">
            <v>?=</v>
          </cell>
          <cell r="E16">
            <v>228.01000000000002</v>
          </cell>
          <cell r="F16" t="str">
            <v>#=dL=</v>
          </cell>
          <cell r="G16">
            <v>8</v>
          </cell>
        </row>
        <row r="17">
          <cell r="B17" t="str">
            <v>;fx|f] k|sf/sf] df6f] vGg] sfd ===============================================================================</v>
          </cell>
          <cell r="C17" t="str">
            <v xml:space="preserve"> #</v>
          </cell>
          <cell r="D17" t="str">
            <v>?=</v>
          </cell>
          <cell r="E17">
            <v>260.58999999999997</v>
          </cell>
          <cell r="F17" t="str">
            <v>#=dL=</v>
          </cell>
          <cell r="G17">
            <v>9</v>
          </cell>
        </row>
        <row r="18">
          <cell r="B18" t="str">
            <v>af]N8/ ld;]sf] df6f] vGg] sfd ===============================================================================</v>
          </cell>
          <cell r="C18" t="str">
            <v xml:space="preserve"> #</v>
          </cell>
          <cell r="D18" t="str">
            <v>?=</v>
          </cell>
          <cell r="E18">
            <v>517.91</v>
          </cell>
          <cell r="F18" t="str">
            <v>#=dL=</v>
          </cell>
          <cell r="G18">
            <v>9.1</v>
          </cell>
        </row>
        <row r="19">
          <cell r="B19" t="str">
            <v xml:space="preserve">;fdfGo df6f]n] k'g]{ sfd -kfgL 5l/sg_ ========================================================================================== </v>
          </cell>
          <cell r="C19" t="str">
            <v xml:space="preserve"> $</v>
          </cell>
          <cell r="D19" t="str">
            <v>?=</v>
          </cell>
          <cell r="E19">
            <v>158.12</v>
          </cell>
          <cell r="F19" t="str">
            <v>#=dL=</v>
          </cell>
          <cell r="G19">
            <v>10</v>
          </cell>
        </row>
        <row r="20">
          <cell r="B20" t="str">
            <v xml:space="preserve">;fdfGo df6f]n] k'g]{ sfd -kfgL 5l/sg_ df6f]sf] 9'jfgL ;d]t ===================================== </v>
          </cell>
          <cell r="C20" t="str">
            <v xml:space="preserve"> $</v>
          </cell>
          <cell r="D20" t="str">
            <v>?=</v>
          </cell>
          <cell r="E20">
            <v>445.62</v>
          </cell>
          <cell r="F20" t="str">
            <v>#=dL=</v>
          </cell>
          <cell r="G20">
            <v>10.1</v>
          </cell>
        </row>
        <row r="21">
          <cell r="B21" t="str">
            <v>;fdfGo df6f]n] k'g]{ sfd -kfgL g5l/sg_================================================================</v>
          </cell>
          <cell r="C21" t="str">
            <v xml:space="preserve"> $</v>
          </cell>
          <cell r="D21" t="str">
            <v>?=</v>
          </cell>
          <cell r="E21">
            <v>79.06</v>
          </cell>
          <cell r="F21" t="str">
            <v>#=dL=</v>
          </cell>
          <cell r="G21">
            <v>11</v>
          </cell>
        </row>
        <row r="22">
          <cell r="B22" t="str">
            <v>hu jf vf8naf6 kfgL kDk ug]{ sfd ================================================================</v>
          </cell>
          <cell r="C22">
            <v>5</v>
          </cell>
          <cell r="D22" t="str">
            <v>?=</v>
          </cell>
          <cell r="E22">
            <v>0</v>
          </cell>
          <cell r="F22" t="str">
            <v>#=dL=</v>
          </cell>
          <cell r="G22">
            <v>12</v>
          </cell>
        </row>
        <row r="23">
          <cell r="B23" t="str">
            <v xml:space="preserve">afn'jf eg]{ sfd =============================================================================================   </v>
          </cell>
          <cell r="C23">
            <v>5</v>
          </cell>
          <cell r="D23" t="str">
            <v>?=</v>
          </cell>
          <cell r="E23">
            <v>2118.87</v>
          </cell>
          <cell r="F23" t="str">
            <v>#=dL=</v>
          </cell>
          <cell r="G23">
            <v>13</v>
          </cell>
        </row>
        <row r="27">
          <cell r="B27" t="str">
            <v>e'O{+tNnfdf O{+6fsf] uf/f] nufpg] sfd l;d]G6 d;nf -!M#_ df=====================================</v>
          </cell>
          <cell r="C27">
            <v>5</v>
          </cell>
          <cell r="D27" t="str">
            <v>?=</v>
          </cell>
          <cell r="E27">
            <v>3570.34</v>
          </cell>
          <cell r="F27" t="str">
            <v>#=dL=</v>
          </cell>
          <cell r="G27">
            <v>14</v>
          </cell>
        </row>
        <row r="28">
          <cell r="B28" t="str">
            <v>e'O{+tNnfeGbf dfly O{+++6fsf] uf/f] nufpg] sfd l;d]G6 d;nf -!M#_ df======================</v>
          </cell>
          <cell r="C28">
            <v>6</v>
          </cell>
          <cell r="D28" t="str">
            <v>?=</v>
          </cell>
          <cell r="E28">
            <v>3733.21</v>
          </cell>
          <cell r="F28" t="str">
            <v>#=dL=</v>
          </cell>
          <cell r="G28">
            <v>15</v>
          </cell>
        </row>
        <row r="29">
          <cell r="B29" t="str">
            <v xml:space="preserve">e'O{+tNnfdf O{+6fsf] uf/f] nufpg] sfd l;d]G6 d;nf -!M$_ df  =============================================================================================     </v>
          </cell>
          <cell r="C29">
            <v>6</v>
          </cell>
          <cell r="D29" t="str">
            <v>?=</v>
          </cell>
          <cell r="E29">
            <v>3183.94</v>
          </cell>
          <cell r="F29" t="str">
            <v>#=dL=</v>
          </cell>
          <cell r="G29">
            <v>16</v>
          </cell>
        </row>
        <row r="30">
          <cell r="B30" t="str">
            <v xml:space="preserve">e'O{+tNnfeGbf dfly O{+++6fsf] uf/f] nufpg] sfd l;d]G6 d;nf -!M$_ df=====================  </v>
          </cell>
          <cell r="C30">
            <v>6</v>
          </cell>
          <cell r="D30" t="str">
            <v>?=</v>
          </cell>
          <cell r="E30">
            <v>3346.81</v>
          </cell>
          <cell r="F30" t="str">
            <v>#=dL=</v>
          </cell>
          <cell r="G30">
            <v>17</v>
          </cell>
        </row>
        <row r="31">
          <cell r="B31" t="str">
            <v>e'O{+tNnfdf O{+6fsf] uf/f] nufpg] sfd l;d]G6 d;nf -!M%_ df=================================</v>
          </cell>
          <cell r="C31">
            <v>7</v>
          </cell>
          <cell r="D31" t="str">
            <v>?=</v>
          </cell>
          <cell r="E31">
            <v>3117.2400000000002</v>
          </cell>
          <cell r="F31" t="str">
            <v>#=dL=</v>
          </cell>
          <cell r="G31">
            <v>18</v>
          </cell>
        </row>
        <row r="32">
          <cell r="B32" t="str">
            <v xml:space="preserve">e'O{+tNnfeGbf dfly O{+++6fsf] uf/f] nufpg] sfd l;d]G6 d;nf -!M%_ df  =============================================================================================   </v>
          </cell>
          <cell r="C32">
            <v>7</v>
          </cell>
          <cell r="D32" t="str">
            <v>?=</v>
          </cell>
          <cell r="E32">
            <v>3280.11</v>
          </cell>
          <cell r="F32" t="str">
            <v>#=dL=</v>
          </cell>
          <cell r="G32">
            <v>19</v>
          </cell>
        </row>
        <row r="33">
          <cell r="B33" t="str">
            <v>e'O{+tNnfdf O{+6fsf] uf/f] nufpg] sfd l;d]G6 d;nf -!M^_ df=================================</v>
          </cell>
          <cell r="C33">
            <v>8</v>
          </cell>
          <cell r="D33" t="str">
            <v>?=</v>
          </cell>
          <cell r="E33">
            <v>2844.12</v>
          </cell>
          <cell r="F33" t="str">
            <v>#=dL=</v>
          </cell>
          <cell r="G33">
            <v>20</v>
          </cell>
        </row>
        <row r="34">
          <cell r="B34" t="str">
            <v xml:space="preserve">e'O{+tNnfeGbf dfly O{+++6fsf] uf/f] nufpg] sfd l;d]G6 d;nf -!M^_ df  =============================================================================================   </v>
          </cell>
          <cell r="C34">
            <v>9</v>
          </cell>
          <cell r="D34" t="str">
            <v>?=</v>
          </cell>
          <cell r="E34">
            <v>3006.98</v>
          </cell>
          <cell r="F34" t="str">
            <v>#=dL=</v>
          </cell>
          <cell r="G34">
            <v>21</v>
          </cell>
        </row>
        <row r="35">
          <cell r="B35" t="str">
            <v xml:space="preserve">e'O{+tNnfdf lrDgL e§fsf] O{+6fsf] uf/f] l;d]G6 d;nf -!M#_ df  =============================================================================================   </v>
          </cell>
          <cell r="C35">
            <v>9</v>
          </cell>
          <cell r="D35" t="str">
            <v>?=</v>
          </cell>
          <cell r="E35">
            <v>10654.34</v>
          </cell>
          <cell r="F35" t="str">
            <v>#=dL=</v>
          </cell>
          <cell r="G35">
            <v>22</v>
          </cell>
        </row>
        <row r="36">
          <cell r="B36" t="str">
            <v xml:space="preserve">e'O{+tNnfeGbf dfly lrDgL e§fsf] O{+6fsf] uf/f] l;d]G6 d;nf -!M#_ df  =============================================================================================   </v>
          </cell>
          <cell r="C36">
            <v>10</v>
          </cell>
          <cell r="D36" t="str">
            <v>?=</v>
          </cell>
          <cell r="E36">
            <v>10817.210000000001</v>
          </cell>
          <cell r="F36" t="str">
            <v>#=dL=</v>
          </cell>
          <cell r="G36">
            <v>23</v>
          </cell>
        </row>
        <row r="37">
          <cell r="B37" t="str">
            <v xml:space="preserve">e'O{+tNnfdf lrDgL e§fsf] O{+6fsf] uf/f] l;d]G6 d;nf -!M$_ df  =============================================================================================   </v>
          </cell>
          <cell r="C37">
            <v>10</v>
          </cell>
          <cell r="D37" t="str">
            <v>?=</v>
          </cell>
          <cell r="E37">
            <v>10283.469999999999</v>
          </cell>
          <cell r="F37" t="str">
            <v>#=dL=</v>
          </cell>
          <cell r="G37">
            <v>24</v>
          </cell>
        </row>
        <row r="38">
          <cell r="B38" t="str">
            <v xml:space="preserve">e'O{+tNnfeGbf dfly lrDgL e§fsf] O{+6fsf] uf/f] l;d]G6 d;nf -!M$_ df  =============================================================================================   </v>
          </cell>
          <cell r="C38">
            <v>11</v>
          </cell>
          <cell r="D38" t="str">
            <v>?=</v>
          </cell>
          <cell r="E38">
            <v>10446.33</v>
          </cell>
          <cell r="F38" t="str">
            <v>#=dL=</v>
          </cell>
          <cell r="G38">
            <v>25</v>
          </cell>
        </row>
        <row r="39">
          <cell r="B39" t="str">
            <v xml:space="preserve">e'O{+tNnfdf lrDgL e§fsf] O{+6fsf] uf/f] l;d]G6 d;nf -!M^_ df  =============================================================================================   </v>
          </cell>
          <cell r="C39">
            <v>11</v>
          </cell>
          <cell r="D39" t="str">
            <v>?=</v>
          </cell>
          <cell r="E39">
            <v>9928.119999999999</v>
          </cell>
          <cell r="F39" t="str">
            <v>#=dL=</v>
          </cell>
          <cell r="G39">
            <v>26</v>
          </cell>
        </row>
        <row r="40">
          <cell r="B40" t="str">
            <v xml:space="preserve">e'O{+tNnfeGbf dfly lrDgL e§fsf] O{+6fsf] uf/f] l;d]G6 d;nf -!M^_ df  =============================================================================================   </v>
          </cell>
          <cell r="C40">
            <v>11</v>
          </cell>
          <cell r="D40" t="str">
            <v>?=</v>
          </cell>
          <cell r="E40">
            <v>10090.98</v>
          </cell>
          <cell r="F40" t="str">
            <v>#=dL=</v>
          </cell>
          <cell r="G40">
            <v>27</v>
          </cell>
        </row>
        <row r="41">
          <cell r="B41" t="str">
            <v xml:space="preserve">e'O{+tNnfdf lrDgL e§fsf] O{+6fsf] uf/f] df6f]df nufpg] sfd  =============================================================================================   </v>
          </cell>
          <cell r="C41">
            <v>13</v>
          </cell>
          <cell r="D41" t="str">
            <v>?=</v>
          </cell>
          <cell r="E41">
            <v>8284.77</v>
          </cell>
          <cell r="F41" t="str">
            <v>#=dL=</v>
          </cell>
          <cell r="G41">
            <v>28</v>
          </cell>
        </row>
        <row r="42">
          <cell r="B42" t="str">
            <v xml:space="preserve">e'O{+tNnfeGbf dfly lrDgL e§fsf] O{+6fsf] uf/f] df6f]df nufpg] sfd  =============================================================================================   </v>
          </cell>
          <cell r="C42">
            <v>13</v>
          </cell>
          <cell r="D42" t="str">
            <v>?=</v>
          </cell>
          <cell r="E42">
            <v>8447.630000000001</v>
          </cell>
          <cell r="F42" t="str">
            <v>#=dL=</v>
          </cell>
          <cell r="G42">
            <v>29</v>
          </cell>
        </row>
        <row r="46">
          <cell r="B46" t="str">
            <v xml:space="preserve">9'Ëfsf] uf/f] l;d]G6 d;nf -!M#_ df  =============================================================================================   </v>
          </cell>
          <cell r="C46">
            <v>13</v>
          </cell>
          <cell r="D46" t="str">
            <v>?=</v>
          </cell>
          <cell r="E46">
            <v>6965.89</v>
          </cell>
          <cell r="F46" t="str">
            <v>#=dL=</v>
          </cell>
          <cell r="G46">
            <v>30</v>
          </cell>
        </row>
        <row r="47">
          <cell r="B47" t="str">
            <v xml:space="preserve">9'Ëfsf] uf/f] l;d]G6 d;nf -!M$_ df  =============================================================================================   </v>
          </cell>
          <cell r="C47">
            <v>14</v>
          </cell>
          <cell r="D47" t="str">
            <v>?=</v>
          </cell>
          <cell r="E47">
            <v>6546.14</v>
          </cell>
          <cell r="F47" t="str">
            <v>#=dL=</v>
          </cell>
          <cell r="G47">
            <v>31</v>
          </cell>
        </row>
        <row r="48">
          <cell r="B48" t="str">
            <v xml:space="preserve">9'Ëfsf] uf/f] l;d]G6 d;nf -!M^_ df  =============================================================================================   </v>
          </cell>
          <cell r="C48">
            <v>14</v>
          </cell>
          <cell r="D48" t="str">
            <v>?=</v>
          </cell>
          <cell r="E48">
            <v>5028.1400000000003</v>
          </cell>
          <cell r="F48" t="str">
            <v>#=dL=</v>
          </cell>
          <cell r="G48">
            <v>31.1</v>
          </cell>
        </row>
        <row r="49">
          <cell r="B49" t="str">
            <v xml:space="preserve">;'Vvf 9'Ëfsf] uf/f] nufpg] sfd  =============================================================================================    </v>
          </cell>
          <cell r="C49">
            <v>15</v>
          </cell>
          <cell r="D49" t="str">
            <v>?=</v>
          </cell>
          <cell r="E49">
            <v>5910.08</v>
          </cell>
          <cell r="F49" t="str">
            <v>#=dL=</v>
          </cell>
          <cell r="G49">
            <v>32</v>
          </cell>
        </row>
        <row r="50">
          <cell r="B50" t="str">
            <v xml:space="preserve">9'Ëfsf] uf/f] df6f] nufpg] sfd  =============================================================================================     </v>
          </cell>
          <cell r="C50">
            <v>15</v>
          </cell>
          <cell r="D50" t="str">
            <v>?=</v>
          </cell>
          <cell r="E50">
            <v>2627.75</v>
          </cell>
          <cell r="F50" t="str">
            <v>#=dL=</v>
          </cell>
          <cell r="G50">
            <v>33</v>
          </cell>
        </row>
        <row r="51">
          <cell r="B51" t="str">
            <v xml:space="preserve">9'Ëfsf] uf/f] t];f]{ ;txdf l;=af= -!M#_ df  =============================================================================================   </v>
          </cell>
          <cell r="C51">
            <v>16</v>
          </cell>
          <cell r="D51" t="str">
            <v>?=</v>
          </cell>
          <cell r="E51">
            <v>2827.56</v>
          </cell>
          <cell r="F51" t="str">
            <v>#=dL=</v>
          </cell>
          <cell r="G51">
            <v>34</v>
          </cell>
        </row>
        <row r="52">
          <cell r="B52" t="str">
            <v xml:space="preserve">9'Ëfsf] uf/f] t];f]{ ;txdf l;=af= -!M$_ df  =============================================================================================    </v>
          </cell>
          <cell r="C52">
            <v>16</v>
          </cell>
          <cell r="D52" t="str">
            <v>?=</v>
          </cell>
          <cell r="E52">
            <v>7331.02</v>
          </cell>
          <cell r="F52" t="str">
            <v>#=dL=</v>
          </cell>
          <cell r="G52">
            <v>35</v>
          </cell>
        </row>
        <row r="53">
          <cell r="B53" t="str">
            <v xml:space="preserve">9'Ëfsf] uf/f] t];f]{ ;txdf l;=af= -!M^_ df  =============================================================================================    </v>
          </cell>
          <cell r="C53">
            <v>17</v>
          </cell>
          <cell r="D53" t="str">
            <v>?=</v>
          </cell>
          <cell r="E53">
            <v>6926.79</v>
          </cell>
          <cell r="F53" t="str">
            <v>#=dL=</v>
          </cell>
          <cell r="G53">
            <v>36</v>
          </cell>
        </row>
        <row r="54">
          <cell r="B54" t="str">
            <v xml:space="preserve">s'+b]sf] 9'Ëfsf] sfd l;=af= -!M^_ df  =============================================================================================   </v>
          </cell>
          <cell r="C54">
            <v>17</v>
          </cell>
          <cell r="D54" t="str">
            <v>?=</v>
          </cell>
          <cell r="E54">
            <v>6275.2</v>
          </cell>
          <cell r="F54" t="str">
            <v>#=dL=</v>
          </cell>
          <cell r="G54">
            <v>37</v>
          </cell>
        </row>
        <row r="55">
          <cell r="B55" t="str">
            <v>husf] vf8ndf 9'Ëf eg]{ sfd============================================================================</v>
          </cell>
          <cell r="C55">
            <v>18</v>
          </cell>
          <cell r="D55" t="str">
            <v>?=</v>
          </cell>
          <cell r="E55">
            <v>2831.875</v>
          </cell>
          <cell r="F55" t="str">
            <v>#=dL=</v>
          </cell>
          <cell r="G55">
            <v>38</v>
          </cell>
        </row>
        <row r="56">
          <cell r="B56" t="str">
            <v>husf] vf8ndf 9'Ëf eg]{ sfd============================================================================</v>
          </cell>
          <cell r="C56">
            <v>18</v>
          </cell>
          <cell r="D56" t="str">
            <v>?=</v>
          </cell>
          <cell r="E56">
            <v>2130.37</v>
          </cell>
          <cell r="F56" t="str">
            <v>#=dL=</v>
          </cell>
          <cell r="G56">
            <v>39</v>
          </cell>
        </row>
        <row r="57">
          <cell r="B57" t="str">
            <v>husf] vf8ndf 9'Ëf eg]{ sfd e}/x]sf] 9'Ëf af6 ===========================================================================</v>
          </cell>
          <cell r="C57">
            <v>18</v>
          </cell>
          <cell r="D57" t="str">
            <v>?=</v>
          </cell>
          <cell r="E57">
            <v>474.37</v>
          </cell>
          <cell r="F57" t="str">
            <v>#=dL=</v>
          </cell>
          <cell r="G57">
            <v>39.1</v>
          </cell>
        </row>
        <row r="59">
          <cell r="B59" t="str">
            <v xml:space="preserve">hu leQf kvf{ndf kL=;L=;L= -!M%M!)_  =============================================================================================    </v>
          </cell>
          <cell r="C59">
            <v>18</v>
          </cell>
          <cell r="D59" t="str">
            <v>?=</v>
          </cell>
          <cell r="E59">
            <v>0</v>
          </cell>
          <cell r="F59" t="str">
            <v>#=dL=</v>
          </cell>
          <cell r="G59">
            <v>0</v>
          </cell>
        </row>
        <row r="60">
          <cell r="B60" t="str">
            <v xml:space="preserve">hu leQf kvf{ndf kL=;L=;L= -!M$M*_  =============================================================================================   </v>
          </cell>
          <cell r="C60">
            <v>19</v>
          </cell>
          <cell r="D60" t="str">
            <v>?=</v>
          </cell>
          <cell r="E60">
            <v>0</v>
          </cell>
          <cell r="F60" t="str">
            <v>#=dL=</v>
          </cell>
          <cell r="G60">
            <v>0</v>
          </cell>
        </row>
        <row r="61">
          <cell r="B61" t="str">
            <v xml:space="preserve">hu leQf kvf{ndf kL=;L=;L= -!M#M^_  =============================================================================================   </v>
          </cell>
          <cell r="C61">
            <v>19</v>
          </cell>
          <cell r="D61" t="str">
            <v>?=</v>
          </cell>
          <cell r="E61">
            <v>6054.75</v>
          </cell>
          <cell r="F61" t="str">
            <v>#=dL=</v>
          </cell>
          <cell r="G61">
            <v>40</v>
          </cell>
        </row>
        <row r="62">
          <cell r="B62" t="str">
            <v xml:space="preserve">hu leQf kvf{ndf kL=;L=;L= -!M@M$_  =============================================================================================   </v>
          </cell>
          <cell r="C62">
            <v>20</v>
          </cell>
          <cell r="D62" t="str">
            <v>?=</v>
          </cell>
          <cell r="E62">
            <v>6569.95</v>
          </cell>
          <cell r="F62" t="str">
            <v>#=dL=</v>
          </cell>
          <cell r="G62">
            <v>41</v>
          </cell>
        </row>
        <row r="63">
          <cell r="B63" t="str">
            <v xml:space="preserve">;"k/ :6«Sr/df kL=;L=;L= -!M@M$_  =============================================================================================   </v>
          </cell>
          <cell r="C63">
            <v>20</v>
          </cell>
          <cell r="D63" t="str">
            <v>?=</v>
          </cell>
          <cell r="E63">
            <v>7213.95</v>
          </cell>
          <cell r="F63" t="str">
            <v>#=dL=</v>
          </cell>
          <cell r="G63">
            <v>42</v>
          </cell>
        </row>
        <row r="64">
          <cell r="B64" t="str">
            <v xml:space="preserve">;"k/ :6«Sr/df kL=;L=;L= -!M!!÷@M#_===================================================================== </v>
          </cell>
          <cell r="C64">
            <v>21</v>
          </cell>
          <cell r="D64" t="str">
            <v>?=</v>
          </cell>
          <cell r="E64">
            <v>8399.6</v>
          </cell>
          <cell r="F64" t="str">
            <v>#=dL=</v>
          </cell>
          <cell r="G64">
            <v>43</v>
          </cell>
        </row>
        <row r="65">
          <cell r="B65" t="str">
            <v xml:space="preserve">;"k/ :6«Sr/df kL=;L=;L= -!M!M@M_  =============================================================================================   </v>
          </cell>
          <cell r="C65">
            <v>21</v>
          </cell>
          <cell r="D65" t="str">
            <v>?=</v>
          </cell>
          <cell r="E65">
            <v>9252.9</v>
          </cell>
          <cell r="F65" t="str">
            <v>#=dL=</v>
          </cell>
          <cell r="G65">
            <v>44</v>
          </cell>
        </row>
        <row r="66">
          <cell r="B66" t="str">
            <v xml:space="preserve">cf/=;L=;L=sf] nflu kmnfd] 808Lsf] sfd  =============================================================================================   </v>
          </cell>
          <cell r="C66">
            <v>22</v>
          </cell>
          <cell r="D66" t="str">
            <v>?=</v>
          </cell>
          <cell r="E66">
            <v>10341.950000000001</v>
          </cell>
          <cell r="F66" t="str">
            <v>d]=^g=</v>
          </cell>
          <cell r="G66">
            <v>45</v>
          </cell>
        </row>
        <row r="67">
          <cell r="B67" t="str">
            <v xml:space="preserve">;"k/ :6«Sr/df kL=;L=;L= -!M!M@M_  =============================================================================================   </v>
          </cell>
          <cell r="C67">
            <v>21</v>
          </cell>
          <cell r="D67" t="str">
            <v>?=</v>
          </cell>
          <cell r="E67">
            <v>13018</v>
          </cell>
          <cell r="F67" t="str">
            <v>#=dL=</v>
          </cell>
          <cell r="G67">
            <v>46</v>
          </cell>
        </row>
        <row r="68">
          <cell r="B68" t="str">
            <v xml:space="preserve">cf/=;L=;L=sf] nflu kmnfd] 808Lsf] sfd  =============================================================================================   </v>
          </cell>
          <cell r="C68">
            <v>22</v>
          </cell>
          <cell r="D68" t="str">
            <v>?=</v>
          </cell>
          <cell r="E68">
            <v>93270.75</v>
          </cell>
          <cell r="F68" t="str">
            <v>d]=^g=</v>
          </cell>
          <cell r="G68">
            <v>47</v>
          </cell>
        </row>
        <row r="70">
          <cell r="B70" t="str">
            <v xml:space="preserve">sf7df kmdf{ agfpg] sfd  =============================================================================================   </v>
          </cell>
          <cell r="C70">
            <v>22</v>
          </cell>
          <cell r="D70" t="str">
            <v>?=</v>
          </cell>
          <cell r="E70">
            <v>0</v>
          </cell>
          <cell r="F70" t="str">
            <v>j=dL=</v>
          </cell>
          <cell r="G70">
            <v>0</v>
          </cell>
        </row>
        <row r="71">
          <cell r="B71" t="str">
            <v xml:space="preserve">sf]nddf kmdf{ nuffpg] sfd  =============================================================================================   </v>
          </cell>
          <cell r="C71">
            <v>23</v>
          </cell>
          <cell r="D71" t="str">
            <v>?=</v>
          </cell>
          <cell r="E71">
            <v>0</v>
          </cell>
          <cell r="F71" t="str">
            <v>j=dL=</v>
          </cell>
          <cell r="G71">
            <v>0</v>
          </cell>
        </row>
        <row r="72">
          <cell r="B72" t="str">
            <v xml:space="preserve">kmnfd]sf] kfOk / KnfOaf]8{af6 kmdf{ agfpg] sfd   =============================================================================================   </v>
          </cell>
          <cell r="C72">
            <v>23</v>
          </cell>
          <cell r="D72" t="str">
            <v>?=</v>
          </cell>
          <cell r="E72">
            <v>416.48</v>
          </cell>
          <cell r="F72" t="str">
            <v>j=dL=</v>
          </cell>
          <cell r="G72">
            <v>48</v>
          </cell>
        </row>
        <row r="73">
          <cell r="B73" t="str">
            <v xml:space="preserve">jLddf kmdf{ agfpg] sfd -jLdsf] prfO{ )=# dL= ;Dd_  =============================================================================================   </v>
          </cell>
          <cell r="C73">
            <v>24</v>
          </cell>
          <cell r="D73" t="str">
            <v>?=</v>
          </cell>
          <cell r="E73">
            <v>609.79</v>
          </cell>
          <cell r="F73" t="str">
            <v>j=dL=</v>
          </cell>
          <cell r="G73">
            <v>49</v>
          </cell>
        </row>
        <row r="74">
          <cell r="B74" t="str">
            <v xml:space="preserve">jLddf kmdf{ agfpg] sfd -jLdsf] prfO{ )=# dL= b]lv )=* dL= ;Dd_  =============================================================================================    </v>
          </cell>
          <cell r="C74">
            <v>24</v>
          </cell>
          <cell r="D74" t="str">
            <v>?=</v>
          </cell>
          <cell r="E74">
            <v>264.55</v>
          </cell>
          <cell r="F74" t="str">
            <v>j=dL=</v>
          </cell>
          <cell r="G74">
            <v>50</v>
          </cell>
        </row>
        <row r="75">
          <cell r="B75" t="str">
            <v>!( dL=dL= KnfO{sf] kmdf{ nufpg] sfd -ljddf_ ===========================================================</v>
          </cell>
          <cell r="C75">
            <v>25</v>
          </cell>
          <cell r="D75" t="str">
            <v>?=</v>
          </cell>
          <cell r="E75">
            <v>633.77</v>
          </cell>
          <cell r="F75" t="str">
            <v>j=dL=</v>
          </cell>
          <cell r="G75">
            <v>50.1</v>
          </cell>
        </row>
        <row r="76">
          <cell r="B76" t="str">
            <v>!( dL=dL= KnfO{sf] sf]nddf kmdf{ nufpg] sfd =================================================================</v>
          </cell>
          <cell r="C76">
            <v>25</v>
          </cell>
          <cell r="D76" t="str">
            <v>?=</v>
          </cell>
          <cell r="E76">
            <v>507.05</v>
          </cell>
          <cell r="F76" t="str">
            <v>j=dL=</v>
          </cell>
          <cell r="G76">
            <v>51</v>
          </cell>
        </row>
        <row r="77">
          <cell r="B77" t="str">
            <v xml:space="preserve">6]«Grdf jflnËsf] sfd -ulx/fO{ !=% dL= b]lv # dL= ;Dd_  =============================================================================================   </v>
          </cell>
          <cell r="C77">
            <v>26</v>
          </cell>
          <cell r="D77" t="str">
            <v>?=</v>
          </cell>
          <cell r="E77">
            <v>406.41</v>
          </cell>
          <cell r="F77" t="str">
            <v>j=dL=</v>
          </cell>
          <cell r="G77">
            <v>51.1</v>
          </cell>
        </row>
        <row r="78">
          <cell r="B78" t="str">
            <v xml:space="preserve">6]«Grdf jflnËsf] sfd -ulx/fO{ # dL= eGbf j9L_  =============================================================================================   </v>
          </cell>
          <cell r="C78">
            <v>26</v>
          </cell>
          <cell r="D78" t="str">
            <v>?=</v>
          </cell>
          <cell r="E78">
            <v>579.14</v>
          </cell>
          <cell r="F78" t="str">
            <v>j=dL=</v>
          </cell>
          <cell r="G78">
            <v>51.2</v>
          </cell>
        </row>
        <row r="79">
          <cell r="B79" t="str">
            <v xml:space="preserve">6]«Grdf jflnËsf] sfd -ulx/fO{ !=% dL= b]lv # dL= ;Dd_  =============================================================================================   </v>
          </cell>
          <cell r="C79">
            <v>26</v>
          </cell>
          <cell r="D79" t="str">
            <v>?=</v>
          </cell>
          <cell r="E79">
            <v>87.92</v>
          </cell>
          <cell r="F79" t="str">
            <v>j=dL=</v>
          </cell>
          <cell r="G79">
            <v>52</v>
          </cell>
        </row>
        <row r="80">
          <cell r="B80" t="str">
            <v xml:space="preserve">6]«Grdf jflnËsf] sfd -ulx/fO{ # dL= eGbf j9L_  =============================================================================================   </v>
          </cell>
          <cell r="C80">
            <v>26</v>
          </cell>
          <cell r="D80" t="str">
            <v>?=</v>
          </cell>
          <cell r="E80">
            <v>92.68</v>
          </cell>
          <cell r="F80" t="str">
            <v>j=dL=</v>
          </cell>
          <cell r="G80">
            <v>53</v>
          </cell>
        </row>
        <row r="82">
          <cell r="B82" t="str">
            <v xml:space="preserve">)=&amp;% dL=dL= afSnf] ;L=hL=cfO{= 5fgf 5fpg] sfd  ===========================================================   </v>
          </cell>
          <cell r="C82">
            <v>27</v>
          </cell>
          <cell r="D82" t="str">
            <v>?=</v>
          </cell>
          <cell r="E82">
            <v>0</v>
          </cell>
          <cell r="F82" t="str">
            <v>j=dL=</v>
          </cell>
          <cell r="G82">
            <v>0</v>
          </cell>
        </row>
        <row r="83">
          <cell r="B83" t="str">
            <v xml:space="preserve">)=&amp;% dL=dL= Kn]g lz6sf] w'/L agfpg] sfd  ===========================================================   </v>
          </cell>
          <cell r="C83">
            <v>27</v>
          </cell>
          <cell r="D83" t="str">
            <v>?=</v>
          </cell>
          <cell r="E83">
            <v>0</v>
          </cell>
          <cell r="F83" t="str">
            <v>/=dL=</v>
          </cell>
          <cell r="G83">
            <v>0</v>
          </cell>
        </row>
        <row r="84">
          <cell r="B84" t="str">
            <v xml:space="preserve">)=&amp;% dL=dL= Kn]g lz6sf] w'/L agfpg] sfd  ===========================================================   </v>
          </cell>
          <cell r="C84">
            <v>27</v>
          </cell>
          <cell r="D84" t="str">
            <v>?=</v>
          </cell>
          <cell r="E84">
            <v>171.09</v>
          </cell>
          <cell r="F84" t="str">
            <v>j=dL=</v>
          </cell>
          <cell r="G84">
            <v>54</v>
          </cell>
        </row>
        <row r="85">
          <cell r="B85" t="str">
            <v xml:space="preserve">)=%) dL=dL= afSnf] ;L=hL=cfO{= 5fgf 5fpg] sfd  ===============================================  </v>
          </cell>
          <cell r="C85">
            <v>28</v>
          </cell>
          <cell r="D85" t="str">
            <v>?=</v>
          </cell>
          <cell r="E85">
            <v>198.37</v>
          </cell>
          <cell r="F85" t="str">
            <v>j=dL=</v>
          </cell>
          <cell r="G85">
            <v>54.1</v>
          </cell>
        </row>
        <row r="86">
          <cell r="B86" t="str">
            <v xml:space="preserve">)=#% dL=dL= afSnf] ;L=hL=cfO{= 5fgf 5fpg] sfd  ===============================================  </v>
          </cell>
          <cell r="C86">
            <v>28</v>
          </cell>
          <cell r="D86" t="str">
            <v>?=</v>
          </cell>
          <cell r="E86">
            <v>217.99</v>
          </cell>
          <cell r="F86" t="str">
            <v>j=dL=</v>
          </cell>
          <cell r="G86">
            <v>54.2</v>
          </cell>
        </row>
        <row r="87">
          <cell r="B87" t="str">
            <v xml:space="preserve">)=%) dL=dL= /+lug ;L=hL=cfO{= w'/L agfpg] sfd  ===============================================  </v>
          </cell>
          <cell r="C87">
            <v>29</v>
          </cell>
          <cell r="D87" t="str">
            <v>?=</v>
          </cell>
          <cell r="E87">
            <v>171.09</v>
          </cell>
          <cell r="F87" t="str">
            <v>/=dL=</v>
          </cell>
          <cell r="G87">
            <v>55</v>
          </cell>
        </row>
        <row r="88">
          <cell r="B88" t="str">
            <v xml:space="preserve">)=%) dL=dL= /+lug ;L=hL=cfO{= w'/L agfpg] sfd  ===============================================  </v>
          </cell>
          <cell r="C88">
            <v>29</v>
          </cell>
          <cell r="D88" t="str">
            <v>?=</v>
          </cell>
          <cell r="E88">
            <v>721.2</v>
          </cell>
          <cell r="F88" t="str">
            <v>j=dL=</v>
          </cell>
          <cell r="G88">
            <v>55.1</v>
          </cell>
        </row>
        <row r="89">
          <cell r="B89" t="str">
            <v xml:space="preserve">)=%) dL=dL+= /+lug ;L=hL=cfO{= kftfsf] 5fgf 5fpg] sfd  =============================================================================================   </v>
          </cell>
          <cell r="C89">
            <v>29</v>
          </cell>
          <cell r="D89" t="str">
            <v>?=</v>
          </cell>
          <cell r="E89">
            <v>198.37</v>
          </cell>
          <cell r="F89" t="str">
            <v>j=dL=</v>
          </cell>
          <cell r="G89">
            <v>56</v>
          </cell>
        </row>
        <row r="90">
          <cell r="B90" t="str">
            <v xml:space="preserve">@* u]h /+lug Kn]g lz6sf] w'/L h8fg ug]{ sfd  =============================================================================================   </v>
          </cell>
          <cell r="C90">
            <v>30</v>
          </cell>
          <cell r="D90" t="str">
            <v>?=</v>
          </cell>
          <cell r="E90">
            <v>217.99</v>
          </cell>
          <cell r="F90" t="str">
            <v>/=dL=</v>
          </cell>
          <cell r="G90">
            <v>56.1</v>
          </cell>
        </row>
        <row r="91">
          <cell r="B91" t="str">
            <v xml:space="preserve">@* u]h /+lug Kn]g lz6sf] w'/L h8fg ug]{ sfd  =============================================================================================   </v>
          </cell>
          <cell r="C91">
            <v>30</v>
          </cell>
          <cell r="D91" t="str">
            <v>?=</v>
          </cell>
          <cell r="E91">
            <v>878.38</v>
          </cell>
          <cell r="F91" t="str">
            <v>j=dL=</v>
          </cell>
          <cell r="G91">
            <v>57</v>
          </cell>
        </row>
        <row r="92">
          <cell r="B92" t="str">
            <v xml:space="preserve">@* u]h Kn]g lz6sf] w'/L h8fg ug]{ sfd  =============================================================================================   </v>
          </cell>
          <cell r="C92">
            <v>30</v>
          </cell>
          <cell r="D92" t="str">
            <v>?=</v>
          </cell>
          <cell r="E92">
            <v>763.48</v>
          </cell>
          <cell r="F92" t="str">
            <v>/=dL=</v>
          </cell>
          <cell r="G92">
            <v>58</v>
          </cell>
        </row>
        <row r="93">
          <cell r="B93" t="str">
            <v xml:space="preserve">@* u]h Kn]g lz6sf] w'/L h8fg ug]{ sfd  =============================================================================================   </v>
          </cell>
          <cell r="C93">
            <v>30</v>
          </cell>
          <cell r="D93" t="str">
            <v>?=</v>
          </cell>
          <cell r="E93">
            <v>838.99</v>
          </cell>
          <cell r="F93" t="str">
            <v>j=dL=</v>
          </cell>
          <cell r="G93">
            <v>58.1</v>
          </cell>
        </row>
        <row r="94">
          <cell r="B94" t="str">
            <v xml:space="preserve">:n]6 5fgf 5fpg] sfd  =============================================================================================   </v>
          </cell>
          <cell r="C94">
            <v>30</v>
          </cell>
          <cell r="D94" t="str">
            <v>?=</v>
          </cell>
          <cell r="E94">
            <v>637.9</v>
          </cell>
          <cell r="F94" t="str">
            <v>j=dL=</v>
          </cell>
          <cell r="G94">
            <v>58.2</v>
          </cell>
        </row>
        <row r="95">
          <cell r="B95" t="str">
            <v xml:space="preserve">Sn] 6fO{nsf] 5fgf 5fpg] sfd  =============================================================================================    </v>
          </cell>
          <cell r="C95">
            <v>31</v>
          </cell>
          <cell r="D95" t="str">
            <v>?=</v>
          </cell>
          <cell r="E95">
            <v>700.99</v>
          </cell>
          <cell r="F95" t="str">
            <v>j=dL=</v>
          </cell>
          <cell r="G95">
            <v>58.3</v>
          </cell>
        </row>
        <row r="96">
          <cell r="B96" t="str">
            <v xml:space="preserve">Sn] 6fO{nsf] w'/L nufpg] sfd  =============================================================================================   </v>
          </cell>
          <cell r="C96">
            <v>31</v>
          </cell>
          <cell r="D96" t="str">
            <v>?=</v>
          </cell>
          <cell r="E96">
            <v>362.82</v>
          </cell>
          <cell r="F96" t="str">
            <v>/=dL=</v>
          </cell>
          <cell r="G96">
            <v>59</v>
          </cell>
        </row>
        <row r="97">
          <cell r="B97" t="str">
            <v xml:space="preserve">Sn] 6fO{nsf] 5fgf 5fpg] sfd  =============================================================================================    </v>
          </cell>
          <cell r="C97">
            <v>31</v>
          </cell>
          <cell r="D97" t="str">
            <v>?=</v>
          </cell>
          <cell r="E97">
            <v>71.3</v>
          </cell>
          <cell r="F97" t="str">
            <v>j=dL=</v>
          </cell>
          <cell r="G97">
            <v>60</v>
          </cell>
        </row>
        <row r="98">
          <cell r="B98" t="str">
            <v xml:space="preserve">Sn] 6fO{nsf] w'/L nufpg] sfd  =============================================================================================   </v>
          </cell>
          <cell r="C98">
            <v>31</v>
          </cell>
          <cell r="D98" t="str">
            <v>?=</v>
          </cell>
          <cell r="E98">
            <v>39.67</v>
          </cell>
          <cell r="F98" t="str">
            <v>/=dL=</v>
          </cell>
          <cell r="G98">
            <v>61</v>
          </cell>
        </row>
        <row r="100">
          <cell r="B100" t="str">
            <v xml:space="preserve">sf7sf] l;lnË nufpg] sfd  =============================================================================================    </v>
          </cell>
          <cell r="C100">
            <v>31</v>
          </cell>
          <cell r="D100" t="str">
            <v>?=</v>
          </cell>
          <cell r="E100">
            <v>0</v>
          </cell>
          <cell r="F100" t="str">
            <v>j=dL=</v>
          </cell>
          <cell r="G100">
            <v>0</v>
          </cell>
        </row>
        <row r="101">
          <cell r="B101" t="str">
            <v xml:space="preserve">cu|fv sf7sf] rf}sf]; agfO{ hf]8\g] sfd  =============================================================================================   </v>
          </cell>
          <cell r="C101">
            <v>32</v>
          </cell>
          <cell r="D101" t="str">
            <v>?=</v>
          </cell>
          <cell r="E101">
            <v>0</v>
          </cell>
          <cell r="F101" t="str">
            <v>#=dL=</v>
          </cell>
          <cell r="G101">
            <v>0</v>
          </cell>
        </row>
        <row r="102">
          <cell r="B102" t="str">
            <v xml:space="preserve">cu|fv sf7sf] l8nf vfkf agfpg] sfd  =============================================================================================   </v>
          </cell>
          <cell r="C102">
            <v>32</v>
          </cell>
          <cell r="D102" t="str">
            <v>?=</v>
          </cell>
          <cell r="E102">
            <v>5899.93</v>
          </cell>
          <cell r="F102" t="str">
            <v>j=dL=</v>
          </cell>
          <cell r="G102">
            <v>62</v>
          </cell>
        </row>
        <row r="103">
          <cell r="B103" t="str">
            <v xml:space="preserve"># dL=dL= P]gf vfkf agfO{ h8fg ug]{ sfd  =============================================================================================   </v>
          </cell>
          <cell r="C103">
            <v>33</v>
          </cell>
          <cell r="D103" t="str">
            <v>?=</v>
          </cell>
          <cell r="E103">
            <v>109435.85</v>
          </cell>
          <cell r="F103" t="str">
            <v>j=dL=</v>
          </cell>
          <cell r="G103">
            <v>63</v>
          </cell>
        </row>
        <row r="104">
          <cell r="B104" t="str">
            <v xml:space="preserve">$ dL=dL= P]gf vfkf agfO{ h8fg ug]{ sfd  =============================================================================================    </v>
          </cell>
          <cell r="C104">
            <v>33</v>
          </cell>
          <cell r="D104" t="str">
            <v>?=</v>
          </cell>
          <cell r="E104">
            <v>5905.74</v>
          </cell>
          <cell r="F104" t="str">
            <v>j=dL=</v>
          </cell>
          <cell r="G104">
            <v>64</v>
          </cell>
        </row>
        <row r="105">
          <cell r="B105" t="str">
            <v xml:space="preserve">% dL=dL= P]gf vfkf agfO{ h8fg ug]{ sfd  =======================================================   </v>
          </cell>
          <cell r="C105">
            <v>34</v>
          </cell>
          <cell r="D105" t="str">
            <v>?=</v>
          </cell>
          <cell r="E105">
            <v>4277.13</v>
          </cell>
          <cell r="F105" t="str">
            <v>j=dL=</v>
          </cell>
          <cell r="G105">
            <v>65</v>
          </cell>
        </row>
        <row r="106">
          <cell r="B106" t="str">
            <v xml:space="preserve">^ dL=dL= P]gf vfkf agfO{ h8fg ug]{ sfd  =============================================================================================   </v>
          </cell>
          <cell r="C106">
            <v>34</v>
          </cell>
          <cell r="D106" t="str">
            <v>?=</v>
          </cell>
          <cell r="E106">
            <v>4305.1000000000004</v>
          </cell>
          <cell r="F106" t="str">
            <v>j=dL=</v>
          </cell>
          <cell r="G106">
            <v>66</v>
          </cell>
        </row>
        <row r="107">
          <cell r="B107" t="str">
            <v xml:space="preserve">$ dL=dL= sdl;{on KnfO{p8sf] vfkf agfO{ h8fg ug]{ sfd  =================================================================   </v>
          </cell>
          <cell r="C107">
            <v>35</v>
          </cell>
          <cell r="D107" t="str">
            <v>?=</v>
          </cell>
          <cell r="E107">
            <v>4428.2</v>
          </cell>
          <cell r="F107" t="str">
            <v>j=dL=</v>
          </cell>
          <cell r="G107">
            <v>67</v>
          </cell>
        </row>
        <row r="108">
          <cell r="B108" t="str">
            <v xml:space="preserve">^ dL=dL= jf6/k|'km KnfO{p8sf] vfkf agfO{ h8fg ug]{ sfd  =============================================================================================   </v>
          </cell>
          <cell r="C108">
            <v>35</v>
          </cell>
          <cell r="D108" t="str">
            <v>?=</v>
          </cell>
          <cell r="E108">
            <v>4472.96</v>
          </cell>
          <cell r="F108" t="str">
            <v>j=dL=</v>
          </cell>
          <cell r="G108">
            <v>68</v>
          </cell>
        </row>
        <row r="109">
          <cell r="B109" t="str">
            <v xml:space="preserve">$ dL=dL= 6Ls KnfO{p8sf] vfkf agfO{ h8fg ug]{ sfd  =============================================================================================   </v>
          </cell>
          <cell r="C109">
            <v>36</v>
          </cell>
          <cell r="D109" t="str">
            <v>?=</v>
          </cell>
          <cell r="E109">
            <v>3593.62</v>
          </cell>
          <cell r="F109" t="str">
            <v>j=dL=</v>
          </cell>
          <cell r="G109">
            <v>69</v>
          </cell>
        </row>
        <row r="110">
          <cell r="B110" t="str">
            <v xml:space="preserve">hL=cfO{=Kn]g zL6 vfkf agfO{ h8fg ug]{ sfd  =============================================================================================   </v>
          </cell>
          <cell r="C110">
            <v>36</v>
          </cell>
          <cell r="D110" t="str">
            <v>?=</v>
          </cell>
          <cell r="E110">
            <v>3879.46</v>
          </cell>
          <cell r="F110" t="str">
            <v>j=dL=</v>
          </cell>
          <cell r="G110">
            <v>70</v>
          </cell>
        </row>
        <row r="111">
          <cell r="B111" t="str">
            <v xml:space="preserve">hL=cfO{=d:SjL6f] k|'km jfo/ d]z nufO{ vfkf agfO{ h8fg ug]{ sfd  =============================================================================================   </v>
          </cell>
          <cell r="C111">
            <v>37</v>
          </cell>
          <cell r="D111" t="str">
            <v>?=</v>
          </cell>
          <cell r="E111">
            <v>3212.51</v>
          </cell>
          <cell r="F111" t="str">
            <v>j=dL=</v>
          </cell>
          <cell r="G111">
            <v>71</v>
          </cell>
        </row>
        <row r="112">
          <cell r="B112" t="str">
            <v xml:space="preserve">d:SjL6f] k|'km jfo/ d]z hfnL h8fg ug]{ sfd  =============================================================================================   </v>
          </cell>
          <cell r="C112">
            <v>37</v>
          </cell>
          <cell r="D112" t="str">
            <v>?=</v>
          </cell>
          <cell r="E112">
            <v>4069.25</v>
          </cell>
          <cell r="F112" t="str">
            <v>j=dL=</v>
          </cell>
          <cell r="G112">
            <v>72</v>
          </cell>
        </row>
        <row r="113">
          <cell r="B113" t="str">
            <v xml:space="preserve">d:SjL6f] k|'km jfo/ d]z vfkf agfO{ h8fg ug]{ sfd  =============================================================================================   </v>
          </cell>
          <cell r="C113">
            <v>38</v>
          </cell>
          <cell r="D113" t="str">
            <v>?=</v>
          </cell>
          <cell r="E113">
            <v>2542.5700000000002</v>
          </cell>
          <cell r="F113" t="str">
            <v>j=dL=</v>
          </cell>
          <cell r="G113">
            <v>73</v>
          </cell>
        </row>
        <row r="114">
          <cell r="B114" t="str">
            <v xml:space="preserve"># dL=dL= P]gf lni6L nufO{ hf]8\g] sfd  =============================================================================================   </v>
          </cell>
          <cell r="C114">
            <v>38</v>
          </cell>
          <cell r="D114" t="str">
            <v>?=</v>
          </cell>
          <cell r="E114">
            <v>227.7</v>
          </cell>
          <cell r="F114" t="str">
            <v>j=dL=</v>
          </cell>
          <cell r="G114">
            <v>73.099999999999994</v>
          </cell>
        </row>
        <row r="115">
          <cell r="B115" t="str">
            <v xml:space="preserve">$ dL=dL= P]gf lni6L nufO{ hf]8\g] sfd  =============================================================================================   </v>
          </cell>
          <cell r="C115">
            <v>38</v>
          </cell>
          <cell r="D115" t="str">
            <v>?=</v>
          </cell>
          <cell r="E115">
            <v>2378.9</v>
          </cell>
          <cell r="F115" t="str">
            <v>j=dL=</v>
          </cell>
          <cell r="G115">
            <v>73.2</v>
          </cell>
        </row>
        <row r="116">
          <cell r="B116" t="str">
            <v xml:space="preserve">% dL=dL= P]gf lni6L nufO{ hf]8\g] sfd  =============================================================================================   </v>
          </cell>
          <cell r="C116">
            <v>39</v>
          </cell>
          <cell r="D116" t="str">
            <v>?=</v>
          </cell>
          <cell r="E116">
            <v>607.20000000000005</v>
          </cell>
          <cell r="F116" t="str">
            <v>j=dL=</v>
          </cell>
          <cell r="G116">
            <v>74</v>
          </cell>
        </row>
        <row r="117">
          <cell r="B117" t="str">
            <v xml:space="preserve">^ dL=dL= P]gf lni6L nufO{ hf]8\g] sfd  =============================================================================================   </v>
          </cell>
          <cell r="C117">
            <v>39</v>
          </cell>
          <cell r="D117" t="str">
            <v>?=</v>
          </cell>
          <cell r="E117">
            <v>664.7</v>
          </cell>
          <cell r="F117" t="str">
            <v>j=dL=</v>
          </cell>
          <cell r="G117">
            <v>75</v>
          </cell>
        </row>
        <row r="118">
          <cell r="B118" t="str">
            <v xml:space="preserve">$ dL=dL= sdl;{on KnfO{p8 lni6L nufO{ hf]8\g] sfd  =============================================================================================   </v>
          </cell>
          <cell r="C118">
            <v>39</v>
          </cell>
          <cell r="D118" t="str">
            <v>?=</v>
          </cell>
          <cell r="E118">
            <v>917.7</v>
          </cell>
          <cell r="F118" t="str">
            <v>j=dL=</v>
          </cell>
          <cell r="G118">
            <v>76</v>
          </cell>
        </row>
        <row r="119">
          <cell r="B119" t="str">
            <v xml:space="preserve">^ dL=dL= sdl;{on KnfO{p8 lni6L nufO{ hf]8\g] sfd  =============================================================================================   </v>
          </cell>
          <cell r="C119">
            <v>39</v>
          </cell>
          <cell r="D119" t="str">
            <v>?=</v>
          </cell>
          <cell r="E119">
            <v>1009.7</v>
          </cell>
          <cell r="F119" t="str">
            <v>j=dL=</v>
          </cell>
          <cell r="G119">
            <v>77</v>
          </cell>
        </row>
        <row r="120">
          <cell r="B120" t="str">
            <v>$ dL=dL= sdl;{on KnfO{p8sf] s7jf/ nufpg] sfd =======================================================================</v>
          </cell>
          <cell r="C120">
            <v>40</v>
          </cell>
          <cell r="D120" t="str">
            <v>?=</v>
          </cell>
          <cell r="E120">
            <v>282.89999999999998</v>
          </cell>
          <cell r="F120" t="str">
            <v>j=dL=</v>
          </cell>
          <cell r="G120">
            <v>78</v>
          </cell>
        </row>
        <row r="121">
          <cell r="B121" t="str">
            <v>!@ dL=dL= sdl;{on KnfO{p8 lni6L nufO{ s7jf/ nufpg[ sfd =========================</v>
          </cell>
          <cell r="C121">
            <v>40</v>
          </cell>
          <cell r="D121" t="str">
            <v>?=</v>
          </cell>
          <cell r="E121">
            <v>391.57</v>
          </cell>
          <cell r="F121" t="str">
            <v>j=dL=</v>
          </cell>
          <cell r="G121">
            <v>78.099999999999994</v>
          </cell>
        </row>
        <row r="122">
          <cell r="B122" t="str">
            <v>!* dL=dL= kf6L{zg jf]8{ Ps ;fO8 nfldg]6 u/L hf[]8\g] sfd ==============================</v>
          </cell>
          <cell r="C122">
            <v>41</v>
          </cell>
          <cell r="D122" t="str">
            <v>?=</v>
          </cell>
          <cell r="E122">
            <v>1548.64</v>
          </cell>
          <cell r="F122" t="str">
            <v>j=dL=</v>
          </cell>
          <cell r="G122">
            <v>79</v>
          </cell>
        </row>
        <row r="123">
          <cell r="B123" t="str">
            <v>$ dL=dL= l6s KnfO{p8sf] nfldg]6 u/L hf]8\g] sfd = =======================================================================</v>
          </cell>
          <cell r="C123">
            <v>41</v>
          </cell>
          <cell r="D123" t="str">
            <v>?=</v>
          </cell>
          <cell r="E123">
            <v>2009.2282181000562</v>
          </cell>
          <cell r="F123" t="str">
            <v>j=dL=</v>
          </cell>
          <cell r="G123">
            <v>80</v>
          </cell>
        </row>
        <row r="124">
          <cell r="B124" t="str">
            <v>$ dL=dL= sdl;{+on KnfOp8sf] kmN; l;lnË sfd -cu|fv_ ===============================================</v>
          </cell>
          <cell r="C124">
            <v>41</v>
          </cell>
          <cell r="D124" t="str">
            <v>?=</v>
          </cell>
          <cell r="E124">
            <v>106.95</v>
          </cell>
          <cell r="F124" t="str">
            <v>#=dL=</v>
          </cell>
          <cell r="G124">
            <v>81</v>
          </cell>
        </row>
        <row r="125">
          <cell r="B125" t="str">
            <v>^ dL=dL= sdl;{+on KnfOp8sf] kmN; l;lnË sfd -cu|fv_ ===============================================</v>
          </cell>
          <cell r="C125">
            <v>42</v>
          </cell>
          <cell r="D125" t="str">
            <v>?=</v>
          </cell>
          <cell r="E125">
            <v>122.53</v>
          </cell>
          <cell r="F125" t="str">
            <v>j=dL=</v>
          </cell>
          <cell r="G125">
            <v>81.099999999999994</v>
          </cell>
        </row>
        <row r="126">
          <cell r="B126" t="str">
            <v>$ dL=dL= sdl;{+on KnfOp8sf] kmN; l;lnË sfd -;Nnf]_ ===============================================</v>
          </cell>
          <cell r="C126">
            <v>42</v>
          </cell>
          <cell r="D126" t="str">
            <v>?=</v>
          </cell>
          <cell r="E126">
            <v>1579.91</v>
          </cell>
          <cell r="F126" t="str">
            <v>j=dL=</v>
          </cell>
          <cell r="G126">
            <v>82</v>
          </cell>
        </row>
        <row r="127">
          <cell r="B127" t="str">
            <v>cu|fv sf7sf] jLd lnG6n agfO{ hf]8\g] sfd ===================================================</v>
          </cell>
          <cell r="C127">
            <v>43</v>
          </cell>
          <cell r="D127" t="str">
            <v>?=</v>
          </cell>
          <cell r="E127">
            <v>1689</v>
          </cell>
          <cell r="F127" t="str">
            <v>#=dL=</v>
          </cell>
          <cell r="G127">
            <v>82.1</v>
          </cell>
        </row>
        <row r="128">
          <cell r="B128" t="str">
            <v>@% dL=dL= O{E; jf]8{ -d'7n_ agfO{ hf]8\g] sfd =================================================</v>
          </cell>
          <cell r="C128">
            <v>43</v>
          </cell>
          <cell r="D128" t="str">
            <v>?=</v>
          </cell>
          <cell r="E128">
            <v>1073.0999999999999</v>
          </cell>
          <cell r="F128" t="str">
            <v>j=dL=</v>
          </cell>
          <cell r="G128">
            <v>83</v>
          </cell>
        </row>
        <row r="129">
          <cell r="B129" t="str">
            <v>rf}s;df 808L  h8fg ug]{ sfd =====================================================================</v>
          </cell>
          <cell r="C129">
            <v>43</v>
          </cell>
          <cell r="D129" t="str">
            <v>?=</v>
          </cell>
          <cell r="E129">
            <v>94251.24</v>
          </cell>
          <cell r="F129" t="str">
            <v>d]=^=</v>
          </cell>
          <cell r="G129">
            <v>84</v>
          </cell>
        </row>
        <row r="130">
          <cell r="B130" t="str">
            <v>@% dL=dL= O{E; jf]8{ -d'7n_ agfO{ hf]8\g] sfd =================================================</v>
          </cell>
          <cell r="C130">
            <v>43</v>
          </cell>
          <cell r="D130" t="str">
            <v>?=</v>
          </cell>
          <cell r="E130">
            <v>2311.6</v>
          </cell>
          <cell r="F130" t="str">
            <v>j=dL=</v>
          </cell>
          <cell r="G130">
            <v>85</v>
          </cell>
        </row>
        <row r="131">
          <cell r="B131" t="str">
            <v>rf}s;df 808L  h8fg ug]{ sfd =====================================================================</v>
          </cell>
          <cell r="C131">
            <v>43</v>
          </cell>
          <cell r="D131" t="str">
            <v>?=</v>
          </cell>
          <cell r="E131">
            <v>98583.75</v>
          </cell>
          <cell r="F131" t="str">
            <v>d]=^=</v>
          </cell>
          <cell r="G131">
            <v>86</v>
          </cell>
        </row>
        <row r="133">
          <cell r="B133" t="str">
            <v>l;d]G6 s+qmL6 ˆnf]l/Ë -!M@M$_ -#* dL=dL=_ =======================================================================</v>
          </cell>
          <cell r="C133">
            <v>44</v>
          </cell>
          <cell r="D133" t="str">
            <v>?=</v>
          </cell>
          <cell r="E133">
            <v>0</v>
          </cell>
          <cell r="F133" t="str">
            <v>j=dL=</v>
          </cell>
          <cell r="G133">
            <v>0</v>
          </cell>
        </row>
        <row r="134">
          <cell r="B134" t="str">
            <v>l;d]G6 s+qmL6 ˆnf]l/Ë -!M@M$_ -%) dL=dL=_ =======================================================================</v>
          </cell>
          <cell r="C134">
            <v>44</v>
          </cell>
          <cell r="D134" t="str">
            <v>?=</v>
          </cell>
          <cell r="E134">
            <v>0</v>
          </cell>
          <cell r="F134" t="str">
            <v>j=dL=</v>
          </cell>
          <cell r="G134">
            <v>0</v>
          </cell>
        </row>
        <row r="135">
          <cell r="B135" t="str">
            <v>l;d]G6 s+qmL6 ˆnf]l/Ë -!M@M$_ -&amp;% dL=dL=_ =======================================================================</v>
          </cell>
          <cell r="C135">
            <v>45</v>
          </cell>
          <cell r="D135" t="str">
            <v>?=</v>
          </cell>
          <cell r="E135">
            <v>388.67</v>
          </cell>
          <cell r="F135" t="str">
            <v>j=dL=</v>
          </cell>
          <cell r="G135">
            <v>87</v>
          </cell>
        </row>
        <row r="136">
          <cell r="B136" t="str">
            <v>@% dL=dL= df]hfos ˆnf]l/Ë -!M@M$_ l;d]G6 s+qmL6df =======================================================================</v>
          </cell>
          <cell r="C136">
            <v>45</v>
          </cell>
          <cell r="D136" t="str">
            <v>?=</v>
          </cell>
          <cell r="E136">
            <v>483.31</v>
          </cell>
          <cell r="F136" t="str">
            <v>j=dL=</v>
          </cell>
          <cell r="G136">
            <v>88</v>
          </cell>
        </row>
        <row r="137">
          <cell r="B137" t="str">
            <v>@% dL=dL= df]hfos ˆnf]l/Ë -!M@ _ l;d]G6 af=df -!( dL=dL= l;d]G6 Knfi6/df_ =======================================================================</v>
          </cell>
          <cell r="C137">
            <v>46</v>
          </cell>
          <cell r="D137" t="str">
            <v>?=</v>
          </cell>
          <cell r="E137">
            <v>675.13</v>
          </cell>
          <cell r="F137" t="str">
            <v>j=dL=</v>
          </cell>
          <cell r="G137">
            <v>89</v>
          </cell>
        </row>
        <row r="138">
          <cell r="B138" t="str">
            <v>@) dL=dL= df]hfos ˆnf]l/Ë -!M@ _ l;d]G6 af=df -!@=% dL=dL= l;d]G6 Knfi6/df_ =======================================================================</v>
          </cell>
          <cell r="C138">
            <v>46</v>
          </cell>
          <cell r="D138" t="str">
            <v>?=</v>
          </cell>
          <cell r="E138">
            <v>1017.76</v>
          </cell>
          <cell r="F138" t="str">
            <v>j=dL=</v>
          </cell>
          <cell r="G138">
            <v>90</v>
          </cell>
        </row>
        <row r="139">
          <cell r="B139" t="str">
            <v>@) dL=dL= df]hfos ˆnf]l/Ë -!M$_ l;d]G6 af=df -6]/fhf] 6fon @) dLdL= afSnf] !M$ efu_ ==================</v>
          </cell>
          <cell r="C139">
            <v>47</v>
          </cell>
          <cell r="D139" t="str">
            <v>?=</v>
          </cell>
          <cell r="E139">
            <v>1754.59</v>
          </cell>
          <cell r="F139" t="str">
            <v>j=dL=</v>
          </cell>
          <cell r="G139">
            <v>91</v>
          </cell>
        </row>
        <row r="140">
          <cell r="B140" t="str">
            <v>dfj{n ˆnf]l/Ësf] sfd =======================================================================================</v>
          </cell>
          <cell r="C140">
            <v>47</v>
          </cell>
          <cell r="D140" t="str">
            <v>?=</v>
          </cell>
          <cell r="E140">
            <v>1727.68</v>
          </cell>
          <cell r="F140" t="str">
            <v>j=dL=</v>
          </cell>
          <cell r="G140">
            <v>92</v>
          </cell>
        </row>
        <row r="141">
          <cell r="B141" t="str">
            <v>kf]/l;nLg Un]H8 6fO{n -!M$_ l;d]G6 af=df =======================================================================</v>
          </cell>
          <cell r="C141">
            <v>48</v>
          </cell>
          <cell r="D141" t="str">
            <v>?=</v>
          </cell>
          <cell r="E141">
            <v>858.25</v>
          </cell>
          <cell r="F141" t="str">
            <v>j=dL=</v>
          </cell>
          <cell r="G141">
            <v>93</v>
          </cell>
        </row>
        <row r="142">
          <cell r="B142" t="str">
            <v>kf]/l;nLg gg\Un]H8 6fO{n -!M$_ l;d]G6 af=df =======================================================================</v>
          </cell>
          <cell r="C142">
            <v>49</v>
          </cell>
          <cell r="D142" t="str">
            <v>?=</v>
          </cell>
          <cell r="E142">
            <v>1003.01</v>
          </cell>
          <cell r="F142" t="str">
            <v>j=dL=</v>
          </cell>
          <cell r="G142">
            <v>94</v>
          </cell>
        </row>
        <row r="143">
          <cell r="B143" t="str">
            <v>%) dL=dL= b]lv ^) dL=dL= 5fKg] 9'Ëf afn'jfdf 5fKg] sfd ================================================</v>
          </cell>
          <cell r="C143">
            <v>48</v>
          </cell>
          <cell r="D143" t="str">
            <v>?=</v>
          </cell>
          <cell r="E143">
            <v>1663.63</v>
          </cell>
          <cell r="F143" t="str">
            <v>j=dL=</v>
          </cell>
          <cell r="G143">
            <v>95</v>
          </cell>
        </row>
        <row r="144">
          <cell r="B144" t="str">
            <v>%) dL=dL= b]lv ^@ dL=dL= 5fKg] 9'Ëf afn'jfdf 5fKg] sfd ================================================</v>
          </cell>
          <cell r="C144">
            <v>48</v>
          </cell>
          <cell r="D144" t="str">
            <v>?=</v>
          </cell>
          <cell r="E144">
            <v>1939.27</v>
          </cell>
          <cell r="F144" t="str">
            <v>j=dL=</v>
          </cell>
          <cell r="G144">
            <v>95.1</v>
          </cell>
        </row>
        <row r="145">
          <cell r="B145" t="str">
            <v>@% dLdL= b]lv #&amp;=% dL=dL= afSnf] 5fKg] 9'Ëf -!M$_ l;=af=df =======================================================================</v>
          </cell>
          <cell r="C145">
            <v>49</v>
          </cell>
          <cell r="D145" t="str">
            <v>?=</v>
          </cell>
          <cell r="E145">
            <v>724.95</v>
          </cell>
          <cell r="F145" t="str">
            <v>j=dL=</v>
          </cell>
          <cell r="G145">
            <v>96</v>
          </cell>
        </row>
        <row r="146">
          <cell r="B146" t="str">
            <v>t]lnof O{+6f 5fKg] sfd =====================================================================================</v>
          </cell>
          <cell r="C146">
            <v>49</v>
          </cell>
          <cell r="D146" t="str">
            <v>?=</v>
          </cell>
          <cell r="E146">
            <v>632.32000000000005</v>
          </cell>
          <cell r="F146" t="str">
            <v>j=dL=</v>
          </cell>
          <cell r="G146">
            <v>97</v>
          </cell>
        </row>
        <row r="147">
          <cell r="B147" t="str">
            <v>r]K6f] O{+6f -!M^_ l;=af=df 5fKg] sfd =======================================================================</v>
          </cell>
          <cell r="C147">
            <v>50</v>
          </cell>
          <cell r="D147" t="str">
            <v>?=</v>
          </cell>
          <cell r="E147">
            <v>340.65</v>
          </cell>
          <cell r="F147" t="str">
            <v>j=dL=</v>
          </cell>
          <cell r="G147">
            <v>98</v>
          </cell>
        </row>
        <row r="148">
          <cell r="B148" t="str">
            <v>7f8f] O{+6f -!M^_ l;=af=df 5fKg] sfd =======================================================================</v>
          </cell>
          <cell r="C148">
            <v>50</v>
          </cell>
          <cell r="D148" t="str">
            <v>?=</v>
          </cell>
          <cell r="E148">
            <v>394.76</v>
          </cell>
          <cell r="F148" t="str">
            <v>j=dL=</v>
          </cell>
          <cell r="G148">
            <v>99</v>
          </cell>
        </row>
        <row r="149">
          <cell r="B149" t="str">
            <v>;'Vvf O{6f RofK6f] 5fKg] sfd =============================================================================</v>
          </cell>
          <cell r="C149">
            <v>50</v>
          </cell>
          <cell r="D149" t="str">
            <v>?=</v>
          </cell>
          <cell r="E149">
            <v>890.12</v>
          </cell>
          <cell r="F149" t="str">
            <v>j=dL=</v>
          </cell>
          <cell r="G149">
            <v>100</v>
          </cell>
        </row>
        <row r="150">
          <cell r="B150" t="str">
            <v>;'Vvf O{6f 7f8f] 5fKg] sfd ===========================================================================</v>
          </cell>
          <cell r="C150">
            <v>51</v>
          </cell>
          <cell r="D150" t="str">
            <v>?=</v>
          </cell>
          <cell r="E150">
            <v>1280.93</v>
          </cell>
          <cell r="F150" t="str">
            <v>j=dL=</v>
          </cell>
          <cell r="G150">
            <v>101</v>
          </cell>
        </row>
        <row r="151">
          <cell r="B151" t="str">
            <v>;'Vvf 9'Ëf 5fKg] sfd =======================================================================================</v>
          </cell>
          <cell r="C151">
            <v>51</v>
          </cell>
          <cell r="D151" t="str">
            <v>?=</v>
          </cell>
          <cell r="E151">
            <v>697.01</v>
          </cell>
          <cell r="F151" t="str">
            <v>j=dL=</v>
          </cell>
          <cell r="G151">
            <v>102</v>
          </cell>
        </row>
        <row r="152">
          <cell r="B152" t="str">
            <v>O{6f ;f]lnË u/L hf]gL{df afn'jf eg]{ sfd =======================================================================</v>
          </cell>
          <cell r="C152">
            <v>51</v>
          </cell>
          <cell r="D152" t="str">
            <v>?=</v>
          </cell>
          <cell r="E152">
            <v>1209.48</v>
          </cell>
          <cell r="F152" t="str">
            <v>j=dL=</v>
          </cell>
          <cell r="G152">
            <v>103</v>
          </cell>
        </row>
        <row r="153">
          <cell r="B153" t="str">
            <v>9'Ëf 5fKf]sf]df l6Ksf/ ug]{ sfd =======================================================================</v>
          </cell>
          <cell r="C153">
            <v>52</v>
          </cell>
          <cell r="D153" t="str">
            <v>?=</v>
          </cell>
          <cell r="E153">
            <v>4330.8999999999996</v>
          </cell>
          <cell r="F153" t="str">
            <v>#=dL=</v>
          </cell>
          <cell r="G153">
            <v>104</v>
          </cell>
        </row>
        <row r="154">
          <cell r="B154" t="str">
            <v>ˆnf]l/Ëdf afn'jf eg]{ sfd =========================================================================================</v>
          </cell>
          <cell r="C154">
            <v>52</v>
          </cell>
          <cell r="D154" t="str">
            <v>?=</v>
          </cell>
          <cell r="E154">
            <v>1211.98</v>
          </cell>
          <cell r="F154" t="str">
            <v>j=dL=</v>
          </cell>
          <cell r="G154">
            <v>105</v>
          </cell>
        </row>
        <row r="155">
          <cell r="B155" t="str">
            <v>6'qmf O{6fn] eg]{ sfd ===================================================================================</v>
          </cell>
          <cell r="C155">
            <v>52</v>
          </cell>
          <cell r="D155" t="str">
            <v>?=</v>
          </cell>
          <cell r="E155">
            <v>45.55</v>
          </cell>
          <cell r="F155" t="str">
            <v>#=dL=</v>
          </cell>
          <cell r="G155">
            <v>106</v>
          </cell>
        </row>
        <row r="156">
          <cell r="B156" t="str">
            <v>d;Lgf] l;d]G6 3f]6\g] sfd =============================================================================</v>
          </cell>
          <cell r="C156">
            <v>53</v>
          </cell>
          <cell r="D156" t="str">
            <v>?=</v>
          </cell>
          <cell r="E156">
            <v>2207.71</v>
          </cell>
          <cell r="F156" t="str">
            <v>j=dL=</v>
          </cell>
          <cell r="G156">
            <v>107</v>
          </cell>
        </row>
        <row r="157">
          <cell r="B157" t="str">
            <v>Kn]g Knf:6/ ckm k]l/; ug]{ sfd ===============================================================================</v>
          </cell>
          <cell r="C157">
            <v>53</v>
          </cell>
          <cell r="D157" t="str">
            <v>?=</v>
          </cell>
          <cell r="E157">
            <v>3209.65</v>
          </cell>
          <cell r="F157" t="str">
            <v>j=dL=</v>
          </cell>
          <cell r="G157">
            <v>108</v>
          </cell>
        </row>
        <row r="158">
          <cell r="B158" t="str">
            <v>cu|fvsf7sf] ˆn]s 5fKg] sfd ===============================================================================</v>
          </cell>
          <cell r="C158">
            <v>53</v>
          </cell>
          <cell r="D158" t="str">
            <v>?=</v>
          </cell>
          <cell r="E158">
            <v>147.87</v>
          </cell>
          <cell r="F158" t="str">
            <v>j=dL=</v>
          </cell>
          <cell r="G158">
            <v>109</v>
          </cell>
        </row>
        <row r="159">
          <cell r="B159" t="str">
            <v>Kn]g Knf:6/ ckm k]l/; ug]{ sfd ===============================================================================</v>
          </cell>
          <cell r="C159">
            <v>53</v>
          </cell>
          <cell r="D159" t="str">
            <v>?=</v>
          </cell>
          <cell r="E159">
            <v>183.35</v>
          </cell>
          <cell r="F159" t="str">
            <v>j=dL=</v>
          </cell>
          <cell r="G159">
            <v>110</v>
          </cell>
        </row>
        <row r="160">
          <cell r="B160" t="str">
            <v>cu|fvsf7sf] ˆn]s 5fKg] sfd ===============================================================================</v>
          </cell>
          <cell r="C160">
            <v>53</v>
          </cell>
          <cell r="D160" t="str">
            <v>?=</v>
          </cell>
          <cell r="E160">
            <v>3768.36</v>
          </cell>
          <cell r="F160" t="str">
            <v>j=dL=</v>
          </cell>
          <cell r="G160">
            <v>111</v>
          </cell>
        </row>
        <row r="162">
          <cell r="B162" t="str">
            <v>!@=% dL=dL= l;d]G6 afn'jf -!M#_ Knfi6/ l;ln+udf =======================================================================</v>
          </cell>
          <cell r="C162">
            <v>54</v>
          </cell>
          <cell r="D162" t="str">
            <v>?=</v>
          </cell>
          <cell r="E162">
            <v>0</v>
          </cell>
          <cell r="F162" t="str">
            <v>j=dL=</v>
          </cell>
          <cell r="G162">
            <v>0</v>
          </cell>
        </row>
        <row r="163">
          <cell r="B163" t="str">
            <v>!@=% dL=dL= l;d]G6 afn'jf -!M$_ Knfi6/ l;ln+udf =======================================================================</v>
          </cell>
          <cell r="C163">
            <v>54</v>
          </cell>
          <cell r="D163" t="str">
            <v>?=</v>
          </cell>
          <cell r="E163">
            <v>0</v>
          </cell>
          <cell r="F163" t="str">
            <v>j=dL=</v>
          </cell>
          <cell r="G163">
            <v>0</v>
          </cell>
        </row>
        <row r="164">
          <cell r="B164" t="str">
            <v>!@=% dL=dL= l;d]G6 afn'jf -!M$_ Knfi6/ =======================================================================</v>
          </cell>
          <cell r="C164">
            <v>54</v>
          </cell>
          <cell r="D164" t="str">
            <v>?=</v>
          </cell>
          <cell r="E164">
            <v>235.2</v>
          </cell>
          <cell r="F164" t="str">
            <v>j=dL=</v>
          </cell>
          <cell r="G164">
            <v>112</v>
          </cell>
        </row>
        <row r="165">
          <cell r="B165" t="str">
            <v>!@=% dL=dL= l;d]G6 afn'jf -!M^_ Knfi6/ =======================================================================</v>
          </cell>
          <cell r="C165">
            <v>55</v>
          </cell>
          <cell r="D165" t="str">
            <v>?=</v>
          </cell>
          <cell r="E165">
            <v>226.79</v>
          </cell>
          <cell r="F165" t="str">
            <v>j=dL=</v>
          </cell>
          <cell r="G165">
            <v>113</v>
          </cell>
        </row>
        <row r="166">
          <cell r="B166" t="str">
            <v>!@=% dL=dL= r'gf ;'sL{ -!M@_ Knfi6/ =======================================================================</v>
          </cell>
          <cell r="C166">
            <v>55</v>
          </cell>
          <cell r="D166" t="str">
            <v>?=</v>
          </cell>
          <cell r="E166">
            <v>199.83</v>
          </cell>
          <cell r="F166" t="str">
            <v>j=dL=</v>
          </cell>
          <cell r="G166">
            <v>114</v>
          </cell>
        </row>
        <row r="167">
          <cell r="B167" t="str">
            <v>@) dL=dL= r'gf ;'sL{ -!M@_ Knfi6/ =======================================================================</v>
          </cell>
          <cell r="C167">
            <v>55</v>
          </cell>
          <cell r="D167" t="str">
            <v>?=</v>
          </cell>
          <cell r="E167">
            <v>181.44</v>
          </cell>
          <cell r="F167" t="str">
            <v>j=dL=</v>
          </cell>
          <cell r="G167">
            <v>115</v>
          </cell>
        </row>
        <row r="168">
          <cell r="B168" t="str">
            <v>@') dL=dL= l;d]G6 afn'jf -!M#_ Knfi6/ =======================================================================</v>
          </cell>
          <cell r="C168">
            <v>56</v>
          </cell>
          <cell r="D168" t="str">
            <v>?=</v>
          </cell>
          <cell r="E168">
            <v>107.87</v>
          </cell>
          <cell r="F168" t="str">
            <v>j=dL=</v>
          </cell>
          <cell r="G168">
            <v>116</v>
          </cell>
        </row>
        <row r="169">
          <cell r="B169" t="str">
            <v>@) dL=dL= l;d]G6 afn'jf -!M$_ Knfi6/ =======================================================================</v>
          </cell>
          <cell r="C169">
            <v>56</v>
          </cell>
          <cell r="D169" t="str">
            <v>?=</v>
          </cell>
          <cell r="E169">
            <v>126.9</v>
          </cell>
          <cell r="F169" t="str">
            <v>j=dL=</v>
          </cell>
          <cell r="G169">
            <v>116.1</v>
          </cell>
        </row>
        <row r="170">
          <cell r="B170" t="str">
            <v>@) dL=dL= l;d]G6 afn'jf -!M^_ Knfi6/ =======================================================================</v>
          </cell>
          <cell r="C170">
            <v>56</v>
          </cell>
          <cell r="D170" t="str">
            <v>?=</v>
          </cell>
          <cell r="E170">
            <v>280.82</v>
          </cell>
          <cell r="F170" t="str">
            <v>j=dL=</v>
          </cell>
          <cell r="G170">
            <v>117</v>
          </cell>
        </row>
        <row r="171">
          <cell r="B171" t="str">
            <v>@% dL=dL= lnpg Knfi6/ ==============================================================================</v>
          </cell>
          <cell r="C171">
            <v>57</v>
          </cell>
          <cell r="D171" t="str">
            <v>?=</v>
          </cell>
          <cell r="E171">
            <v>265.38</v>
          </cell>
          <cell r="F171" t="str">
            <v>j=dL=</v>
          </cell>
          <cell r="G171">
            <v>118</v>
          </cell>
        </row>
        <row r="172">
          <cell r="B172" t="str">
            <v>!@ dL=dL= lnpg Knfi6/ ==============================================================================</v>
          </cell>
          <cell r="C172">
            <v>57</v>
          </cell>
          <cell r="D172" t="str">
            <v>?=</v>
          </cell>
          <cell r="E172">
            <v>236.8</v>
          </cell>
          <cell r="F172" t="str">
            <v>j=dL=</v>
          </cell>
          <cell r="G172">
            <v>119</v>
          </cell>
        </row>
        <row r="173">
          <cell r="B173" t="str">
            <v>@% dL=dL= lnpg Knfi6/ ==============================================================================</v>
          </cell>
          <cell r="C173">
            <v>57</v>
          </cell>
          <cell r="D173" t="str">
            <v>?=</v>
          </cell>
          <cell r="E173">
            <v>183.13</v>
          </cell>
          <cell r="F173" t="str">
            <v>j=dL=</v>
          </cell>
          <cell r="G173">
            <v>120</v>
          </cell>
        </row>
        <row r="174">
          <cell r="B174" t="str">
            <v>!@ dL=dL= lnpg Knfi6/ ==============================================================================</v>
          </cell>
          <cell r="C174">
            <v>57</v>
          </cell>
          <cell r="D174" t="str">
            <v>?=</v>
          </cell>
          <cell r="E174">
            <v>139.15</v>
          </cell>
          <cell r="F174" t="str">
            <v>j=dL=</v>
          </cell>
          <cell r="G174">
            <v>121</v>
          </cell>
        </row>
        <row r="176">
          <cell r="B176" t="str">
            <v>gofF ;km]{;df XjfO{6jfz ug]{ sfd -l;ln+udf_ b'O{ sf]6 =======================================================================</v>
          </cell>
          <cell r="C176">
            <v>57</v>
          </cell>
          <cell r="D176" t="str">
            <v>?=</v>
          </cell>
          <cell r="E176">
            <v>0</v>
          </cell>
          <cell r="F176" t="str">
            <v>j=dL=</v>
          </cell>
          <cell r="G176">
            <v>0</v>
          </cell>
        </row>
        <row r="177">
          <cell r="B177" t="str">
            <v>gofF ;km]{;df XjfO{6jfz b'O{ sf]6 ug]{ sfd =======================================================================</v>
          </cell>
          <cell r="C177">
            <v>58</v>
          </cell>
          <cell r="D177" t="str">
            <v>?=</v>
          </cell>
          <cell r="E177">
            <v>0</v>
          </cell>
          <cell r="F177" t="str">
            <v>j=dL=</v>
          </cell>
          <cell r="G177">
            <v>0</v>
          </cell>
        </row>
        <row r="178">
          <cell r="B178" t="str">
            <v>gofF ;km]{;df XjfO{6jfz tLg sf]6 ug]{ sfd -l;ln+udf_ =======================================================================</v>
          </cell>
          <cell r="C178">
            <v>58</v>
          </cell>
          <cell r="D178" t="str">
            <v>?=</v>
          </cell>
          <cell r="E178">
            <v>15.62</v>
          </cell>
          <cell r="F178" t="str">
            <v>j=dL=</v>
          </cell>
          <cell r="G178">
            <v>122</v>
          </cell>
        </row>
        <row r="179">
          <cell r="B179" t="str">
            <v>gofF ;km]{;df XjfO{6jfz tLg sf]6 ug]{ sfd =======================================================================</v>
          </cell>
          <cell r="C179">
            <v>58</v>
          </cell>
          <cell r="D179" t="str">
            <v>?=</v>
          </cell>
          <cell r="E179">
            <v>12.96</v>
          </cell>
          <cell r="F179" t="str">
            <v>j=dL=</v>
          </cell>
          <cell r="G179">
            <v>123</v>
          </cell>
        </row>
        <row r="180">
          <cell r="B180" t="str">
            <v>k'/fgf] ;km]{;df XjfO{6jfz ug]{ sfd =======================================================================</v>
          </cell>
          <cell r="C180">
            <v>59</v>
          </cell>
          <cell r="D180" t="str">
            <v>?=</v>
          </cell>
          <cell r="E180">
            <v>31.94</v>
          </cell>
          <cell r="F180" t="str">
            <v>j=dL=</v>
          </cell>
          <cell r="G180">
            <v>124</v>
          </cell>
        </row>
        <row r="181">
          <cell r="B181" t="str">
            <v>Ps sf]6 l8:6]Dk/ /+u nufpg] sfd =======================================================================</v>
          </cell>
          <cell r="C181">
            <v>59</v>
          </cell>
          <cell r="D181" t="str">
            <v>?=</v>
          </cell>
          <cell r="E181">
            <v>26.24</v>
          </cell>
          <cell r="F181" t="str">
            <v>j=dL=</v>
          </cell>
          <cell r="G181">
            <v>125</v>
          </cell>
        </row>
        <row r="182">
          <cell r="B182" t="str">
            <v>b'O{ sf]6 l8:6]Dk/ /+u nufpg] sfd =======================================================================</v>
          </cell>
          <cell r="C182">
            <v>59</v>
          </cell>
          <cell r="D182" t="str">
            <v>?=</v>
          </cell>
          <cell r="E182">
            <v>7.08</v>
          </cell>
          <cell r="F182" t="str">
            <v>j=dL=</v>
          </cell>
          <cell r="G182">
            <v>126</v>
          </cell>
        </row>
        <row r="183">
          <cell r="B183" t="str">
            <v>Ps sf]6 jf6/ k|'km l;d]G6 sf]6 nufpg] sfd =======================================================================</v>
          </cell>
          <cell r="C183">
            <v>60</v>
          </cell>
          <cell r="D183" t="str">
            <v>?=</v>
          </cell>
          <cell r="E183">
            <v>65.14</v>
          </cell>
          <cell r="F183" t="str">
            <v>j=dL=</v>
          </cell>
          <cell r="G183">
            <v>127</v>
          </cell>
        </row>
        <row r="184">
          <cell r="B184" t="str">
            <v>b'O{ sf]6 jf6/ k|'km l;d]G6 sf]6 nufpg] sfd =======================================================================</v>
          </cell>
          <cell r="C184">
            <v>60</v>
          </cell>
          <cell r="D184" t="str">
            <v>?=</v>
          </cell>
          <cell r="E184">
            <v>89.2</v>
          </cell>
          <cell r="F184" t="str">
            <v>j=dL=</v>
          </cell>
          <cell r="G184">
            <v>128</v>
          </cell>
        </row>
        <row r="185">
          <cell r="B185" t="str">
            <v>Ps sf]6 Ogfd]n k]G6 nufpg] sfd =======================================================================</v>
          </cell>
          <cell r="C185">
            <v>60</v>
          </cell>
          <cell r="D185" t="str">
            <v>?=</v>
          </cell>
          <cell r="E185">
            <v>35.909999999999997</v>
          </cell>
          <cell r="F185" t="str">
            <v>j=dL=</v>
          </cell>
          <cell r="G185">
            <v>129</v>
          </cell>
        </row>
        <row r="186">
          <cell r="B186" t="str">
            <v>b'O{ sf]6 Ogfd]n k]G6 nufpg] sfd =======================================================================</v>
          </cell>
          <cell r="C186">
            <v>61</v>
          </cell>
          <cell r="D186" t="str">
            <v>?=</v>
          </cell>
          <cell r="E186">
            <v>75.92</v>
          </cell>
          <cell r="F186" t="str">
            <v>j=dL=</v>
          </cell>
          <cell r="G186">
            <v>130</v>
          </cell>
        </row>
        <row r="187">
          <cell r="B187" t="str">
            <v>Ps sf]6 Knfli6s OdNzg k]G6 nufpg] sfd =======================================================================</v>
          </cell>
          <cell r="C187">
            <v>61</v>
          </cell>
          <cell r="D187" t="str">
            <v>?=</v>
          </cell>
          <cell r="E187">
            <v>120.23</v>
          </cell>
          <cell r="F187" t="str">
            <v>j=dL=</v>
          </cell>
          <cell r="G187">
            <v>131</v>
          </cell>
        </row>
        <row r="188">
          <cell r="B188" t="str">
            <v>b'O{ sf]6 Knfli6s OdNzg k]G6 nufpg] sfd =======================================================================</v>
          </cell>
          <cell r="C188">
            <v>61</v>
          </cell>
          <cell r="D188" t="str">
            <v>?=</v>
          </cell>
          <cell r="E188">
            <v>178.59</v>
          </cell>
          <cell r="F188" t="str">
            <v>j=dL=</v>
          </cell>
          <cell r="G188">
            <v>132</v>
          </cell>
        </row>
        <row r="189">
          <cell r="B189" t="str">
            <v>Ps sf]6 c:t/ u/L b'O{ sf]6 Pk]S; k]G6 ug]{ sfd . ===============================</v>
          </cell>
          <cell r="C189">
            <v>61</v>
          </cell>
          <cell r="D189" t="str">
            <v>?=</v>
          </cell>
          <cell r="E189">
            <v>121.52</v>
          </cell>
          <cell r="F189" t="str">
            <v>j=dL=</v>
          </cell>
          <cell r="G189">
            <v>133</v>
          </cell>
        </row>
        <row r="190">
          <cell r="B190" t="str">
            <v>b'O{ sf]6 PNo'ldlgod k]G6 nufpg] sfd =======================================================================</v>
          </cell>
          <cell r="C190">
            <v>62</v>
          </cell>
          <cell r="D190" t="str">
            <v>?=</v>
          </cell>
          <cell r="E190">
            <v>186.32</v>
          </cell>
          <cell r="F190" t="str">
            <v>j=dL=</v>
          </cell>
          <cell r="G190">
            <v>134</v>
          </cell>
        </row>
        <row r="191">
          <cell r="B191" t="str">
            <v>b'O{ sf]6 u]? /+u nufpg] sfd ===============================================================================</v>
          </cell>
          <cell r="C191">
            <v>62</v>
          </cell>
          <cell r="D191" t="str">
            <v>?=</v>
          </cell>
          <cell r="E191">
            <v>193.72</v>
          </cell>
          <cell r="F191" t="str">
            <v>j=dL=</v>
          </cell>
          <cell r="G191">
            <v>134.1</v>
          </cell>
        </row>
        <row r="192">
          <cell r="B192" t="str">
            <v>Ps sf]6 8jn jf]ON8 lnG;L8 cfon nufpg] sfd =======================================================================</v>
          </cell>
          <cell r="C192">
            <v>62</v>
          </cell>
          <cell r="D192" t="str">
            <v>?=</v>
          </cell>
          <cell r="E192">
            <v>166.73</v>
          </cell>
          <cell r="F192" t="str">
            <v>j=dL=</v>
          </cell>
          <cell r="G192">
            <v>135</v>
          </cell>
        </row>
        <row r="193">
          <cell r="B193" t="str">
            <v>b'O{ sf]6 8jn jf]ON8 lnG;L8 cfon nufpg] sfd =======================================================================</v>
          </cell>
          <cell r="C193">
            <v>63</v>
          </cell>
          <cell r="D193" t="str">
            <v>?=</v>
          </cell>
          <cell r="E193">
            <v>170.71</v>
          </cell>
          <cell r="F193" t="str">
            <v>j=dL=</v>
          </cell>
          <cell r="G193">
            <v>136</v>
          </cell>
        </row>
        <row r="194">
          <cell r="B194" t="str">
            <v>Ps sf]6 afg]{; nufpg] sfd =============================================================================</v>
          </cell>
          <cell r="C194">
            <v>63</v>
          </cell>
          <cell r="D194" t="str">
            <v>?=</v>
          </cell>
          <cell r="E194">
            <v>22.08</v>
          </cell>
          <cell r="F194" t="str">
            <v>j=dL=</v>
          </cell>
          <cell r="G194">
            <v>137</v>
          </cell>
        </row>
        <row r="195">
          <cell r="B195" t="str">
            <v>b'O{ sf]6 afg]{; nufpg] sfd ===============================================================================</v>
          </cell>
          <cell r="C195">
            <v>63</v>
          </cell>
          <cell r="D195" t="str">
            <v>?=</v>
          </cell>
          <cell r="E195">
            <v>43.12</v>
          </cell>
          <cell r="F195" t="str">
            <v>j=dL=</v>
          </cell>
          <cell r="G195">
            <v>138</v>
          </cell>
        </row>
        <row r="196">
          <cell r="B196" t="str">
            <v>Ps sf]6 cnsqf k]G6 nufpg] sfd =======================================================================</v>
          </cell>
          <cell r="C196">
            <v>64</v>
          </cell>
          <cell r="D196" t="str">
            <v>?=</v>
          </cell>
          <cell r="E196">
            <v>38.58</v>
          </cell>
          <cell r="F196" t="str">
            <v>j=dL=</v>
          </cell>
          <cell r="G196">
            <v>139</v>
          </cell>
        </row>
        <row r="197">
          <cell r="B197" t="str">
            <v>b'O{ sf]6 cnsqf k]G6 nufpg] sfd =======================================================================</v>
          </cell>
          <cell r="C197">
            <v>64</v>
          </cell>
          <cell r="D197" t="str">
            <v>?=</v>
          </cell>
          <cell r="E197">
            <v>74.17</v>
          </cell>
          <cell r="F197" t="str">
            <v>j=dL=</v>
          </cell>
          <cell r="G197">
            <v>140</v>
          </cell>
        </row>
        <row r="198">
          <cell r="B198" t="str">
            <v>tLg sf]6 rk|f kflnz nufpg] sfd =======================================================================</v>
          </cell>
          <cell r="C198">
            <v>64</v>
          </cell>
          <cell r="D198" t="str">
            <v>?=</v>
          </cell>
          <cell r="E198">
            <v>17.03</v>
          </cell>
          <cell r="F198" t="str">
            <v>j=dL=</v>
          </cell>
          <cell r="G198">
            <v>141</v>
          </cell>
        </row>
        <row r="199">
          <cell r="B199" t="str">
            <v>Ps sf]6 6f6f /]8 cS;fO8 nufpg] sfd =============================================================================</v>
          </cell>
          <cell r="C199">
            <v>65</v>
          </cell>
          <cell r="D199" t="str">
            <v>?=</v>
          </cell>
          <cell r="E199">
            <v>29.57</v>
          </cell>
          <cell r="F199" t="str">
            <v>j=dL=</v>
          </cell>
          <cell r="G199">
            <v>142</v>
          </cell>
        </row>
        <row r="200">
          <cell r="B200" t="str">
            <v>b'O{ sf]6 6f6f /]8 cS;fO8 nufpg] sfd =============================================================================</v>
          </cell>
          <cell r="C200">
            <v>65</v>
          </cell>
          <cell r="D200" t="str">
            <v>?=</v>
          </cell>
          <cell r="E200">
            <v>83.31</v>
          </cell>
          <cell r="F200" t="str">
            <v>j=dL=</v>
          </cell>
          <cell r="G200">
            <v>143</v>
          </cell>
        </row>
        <row r="201">
          <cell r="B201" t="str">
            <v>Ps sf]6 6f6f /]8 cS;fO8 nufpg] sfd =============================================================================</v>
          </cell>
          <cell r="C201">
            <v>65</v>
          </cell>
          <cell r="D201" t="str">
            <v>?=</v>
          </cell>
          <cell r="E201">
            <v>106.63</v>
          </cell>
          <cell r="F201" t="str">
            <v>j=dL=</v>
          </cell>
          <cell r="G201">
            <v>144</v>
          </cell>
        </row>
        <row r="202">
          <cell r="B202" t="str">
            <v>b'O{ sf]6 6f6f /]8 cS;fO8 nufpg] sfd =============================================================================</v>
          </cell>
          <cell r="C202">
            <v>65</v>
          </cell>
          <cell r="D202" t="str">
            <v>?=</v>
          </cell>
          <cell r="E202">
            <v>190.26</v>
          </cell>
          <cell r="F202" t="str">
            <v>j=dL=</v>
          </cell>
          <cell r="G202">
            <v>145</v>
          </cell>
        </row>
        <row r="204">
          <cell r="B204" t="str">
            <v>O{6fsf] uf/f]df l;d]G6 afn'jf -!M!_ ˆn; l6Ksf/ ug]{ sfd =======================================================================</v>
          </cell>
          <cell r="C204">
            <v>65</v>
          </cell>
          <cell r="D204" t="str">
            <v>?=</v>
          </cell>
          <cell r="E204">
            <v>0</v>
          </cell>
          <cell r="F204" t="str">
            <v>j=dL=</v>
          </cell>
          <cell r="G204">
            <v>0</v>
          </cell>
        </row>
        <row r="205">
          <cell r="B205" t="str">
            <v>O{6fsf] uf/f]df l;d]G6 afn'jf -!M!_ ?N8 l6Ksf/ ug]{ sfd =======================================================================</v>
          </cell>
          <cell r="C205">
            <v>66</v>
          </cell>
          <cell r="D205" t="str">
            <v>?=</v>
          </cell>
          <cell r="E205">
            <v>0</v>
          </cell>
          <cell r="F205" t="str">
            <v>j=dL=</v>
          </cell>
          <cell r="G205">
            <v>0</v>
          </cell>
        </row>
        <row r="206">
          <cell r="B206" t="str">
            <v>O{6fsf] uf/f]df l;d]G6 afn'jf -!M@_ ˆn; l6Ksf/ ug]{ sfd =======================================================================</v>
          </cell>
          <cell r="C206">
            <v>66</v>
          </cell>
          <cell r="D206" t="str">
            <v>?=</v>
          </cell>
          <cell r="E206">
            <v>132.16999999999999</v>
          </cell>
          <cell r="F206" t="str">
            <v>j=dL=</v>
          </cell>
          <cell r="G206">
            <v>146</v>
          </cell>
        </row>
        <row r="207">
          <cell r="B207" t="str">
            <v>O{6fsf] uf/f]df l;d]G6 afn'jf -!M@_ ?N8 l6Ksf/ ug]{ sfd =======================================================================</v>
          </cell>
          <cell r="C207">
            <v>66</v>
          </cell>
          <cell r="D207" t="str">
            <v>?=</v>
          </cell>
          <cell r="E207">
            <v>176.2</v>
          </cell>
          <cell r="F207" t="str">
            <v>j=dL=</v>
          </cell>
          <cell r="G207">
            <v>147</v>
          </cell>
        </row>
        <row r="208">
          <cell r="B208" t="str">
            <v>O{6fsf] uf/f]df l;d]G6 afn'jf -!M#_ ˆn; l6Ksf/ ug]{ sfd =======================================================================</v>
          </cell>
          <cell r="C208">
            <v>67</v>
          </cell>
          <cell r="D208" t="str">
            <v>?=</v>
          </cell>
          <cell r="E208">
            <v>119.61</v>
          </cell>
          <cell r="F208" t="str">
            <v>j=dL=</v>
          </cell>
          <cell r="G208">
            <v>148</v>
          </cell>
        </row>
        <row r="209">
          <cell r="B209" t="str">
            <v>O{6fsf] uf/f]df l;d]G6 afn'jf -!M#_ ?N8 l6Ksf/ ug]{ sfd =======================================================================</v>
          </cell>
          <cell r="C209">
            <v>67</v>
          </cell>
          <cell r="D209" t="str">
            <v>?=</v>
          </cell>
          <cell r="E209">
            <v>163.63999999999999</v>
          </cell>
          <cell r="F209" t="str">
            <v>j=dL=</v>
          </cell>
          <cell r="G209">
            <v>149</v>
          </cell>
        </row>
        <row r="210">
          <cell r="B210" t="str">
            <v>af]N8/ 9'Ëfsf] uf/f]df l;d]G6 afn'jf -!M!_ ?N8 l6Ksf/ ug]{ sfd =======================================================================</v>
          </cell>
          <cell r="C210">
            <v>67</v>
          </cell>
          <cell r="D210" t="str">
            <v>?=</v>
          </cell>
          <cell r="E210">
            <v>112.99</v>
          </cell>
          <cell r="F210" t="str">
            <v>j=dL=</v>
          </cell>
          <cell r="G210">
            <v>150</v>
          </cell>
        </row>
        <row r="211">
          <cell r="B211" t="str">
            <v>af]N8/ 9'Ëfsf] uf/f]df l;d]G6 afn'jf -!M@_ ˆn; ?N8 l6Ksf/ ug]{ sfd =======================================================================</v>
          </cell>
          <cell r="C211">
            <v>68</v>
          </cell>
          <cell r="D211" t="str">
            <v>?=</v>
          </cell>
          <cell r="E211">
            <v>157.02000000000001</v>
          </cell>
          <cell r="F211" t="str">
            <v>j=dL=</v>
          </cell>
          <cell r="G211">
            <v>151</v>
          </cell>
        </row>
        <row r="212">
          <cell r="B212" t="str">
            <v>af]N8/ 9'Ëfsf] uf/f]df l;d]G6 afn'jf -!M#_ ?N8 l6Ksf/ ug]{ sfd =======================================================================</v>
          </cell>
          <cell r="C212">
            <v>68</v>
          </cell>
          <cell r="D212" t="str">
            <v>?=</v>
          </cell>
          <cell r="E212">
            <v>177.5</v>
          </cell>
          <cell r="F212" t="str">
            <v>j=dL=</v>
          </cell>
          <cell r="G212">
            <v>152</v>
          </cell>
        </row>
        <row r="213">
          <cell r="B213" t="str">
            <v>PZn/ sfddf l;d]G6 afn'jf -!M#_ ?N8 l6Ksf/ ug]{ sfd =======================================================================</v>
          </cell>
          <cell r="C213">
            <v>68</v>
          </cell>
          <cell r="D213" t="str">
            <v>?=</v>
          </cell>
          <cell r="E213">
            <v>153.38999999999999</v>
          </cell>
          <cell r="F213" t="str">
            <v>j=dL=</v>
          </cell>
          <cell r="G213">
            <v>153</v>
          </cell>
        </row>
        <row r="214">
          <cell r="B214" t="str">
            <v>r]K6f] 9'Ëdf 5fk]sf]df l;d]G6 afn'jf -!M#_ l6Ksf/ ug]{ sfd =======================================================================</v>
          </cell>
          <cell r="C214">
            <v>69</v>
          </cell>
          <cell r="D214" t="str">
            <v>?=</v>
          </cell>
          <cell r="E214">
            <v>141.19</v>
          </cell>
          <cell r="F214" t="str">
            <v>j=dL=</v>
          </cell>
          <cell r="G214">
            <v>154</v>
          </cell>
        </row>
        <row r="215">
          <cell r="B215" t="str">
            <v>t]lnof O{6f 5fk]sf]df l;d]G6 afn'jf -!M!_ l6Ksf/ ug]{ sfd =======================================================================</v>
          </cell>
          <cell r="C215">
            <v>69</v>
          </cell>
          <cell r="D215" t="str">
            <v>?=</v>
          </cell>
          <cell r="E215">
            <v>87.07</v>
          </cell>
          <cell r="F215" t="str">
            <v>j=dL=</v>
          </cell>
          <cell r="G215">
            <v>155</v>
          </cell>
        </row>
        <row r="216">
          <cell r="B216" t="str">
            <v>ˆnl;+u Knfi6/ l;d]G6 afn'jf -!M!_ df nufpg] sfd =======================================================================</v>
          </cell>
          <cell r="C216">
            <v>69</v>
          </cell>
          <cell r="D216" t="str">
            <v>?=</v>
          </cell>
          <cell r="E216">
            <v>45.55</v>
          </cell>
          <cell r="F216" t="str">
            <v>j=dL=</v>
          </cell>
          <cell r="G216">
            <v>156</v>
          </cell>
        </row>
        <row r="217">
          <cell r="B217" t="str">
            <v>r'gfdf ˆnl;+u Knfi6/ nufpg] sfd =======================================================================</v>
          </cell>
          <cell r="C217">
            <v>70</v>
          </cell>
          <cell r="D217" t="str">
            <v>?=</v>
          </cell>
          <cell r="E217">
            <v>100.22</v>
          </cell>
          <cell r="F217" t="str">
            <v>j=dL=</v>
          </cell>
          <cell r="G217">
            <v>157</v>
          </cell>
        </row>
        <row r="218">
          <cell r="B218" t="str">
            <v>l;d]G6df ˆnl;+u Knfi6/ nufpg] sfd =======================================================================</v>
          </cell>
          <cell r="C218">
            <v>70</v>
          </cell>
          <cell r="D218" t="str">
            <v>?=</v>
          </cell>
          <cell r="E218">
            <v>126.19</v>
          </cell>
          <cell r="F218" t="str">
            <v>j=dL=</v>
          </cell>
          <cell r="G218">
            <v>158</v>
          </cell>
        </row>
        <row r="219">
          <cell r="B219" t="str">
            <v>r'gfdf ˆnl;+u Knfi6/ nufpg] sfd =======================================================================</v>
          </cell>
          <cell r="C219">
            <v>70</v>
          </cell>
          <cell r="D219" t="str">
            <v>?=</v>
          </cell>
          <cell r="E219">
            <v>79.349999999999994</v>
          </cell>
          <cell r="F219" t="str">
            <v>j=dL=</v>
          </cell>
          <cell r="G219">
            <v>159</v>
          </cell>
        </row>
        <row r="220">
          <cell r="B220" t="str">
            <v>l;d]G6df ˆnl;+u Knfi6/ nufpg] sfd =======================================================================</v>
          </cell>
          <cell r="C220">
            <v>70</v>
          </cell>
          <cell r="D220" t="str">
            <v>?=</v>
          </cell>
          <cell r="E220">
            <v>146.06</v>
          </cell>
          <cell r="F220" t="str">
            <v>j=dL=</v>
          </cell>
          <cell r="G220">
            <v>160</v>
          </cell>
        </row>
        <row r="222">
          <cell r="B222" t="str">
            <v>@ ;]=dL=df]6fO{sf] l;d]G6 afn'jf -!M@_ df 8]Dk k|'lkmË ug]{ sfd =======================================================================</v>
          </cell>
          <cell r="C222">
            <v>70</v>
          </cell>
          <cell r="D222" t="str">
            <v>?=</v>
          </cell>
          <cell r="E222">
            <v>0</v>
          </cell>
          <cell r="F222" t="str">
            <v>j=dL=</v>
          </cell>
          <cell r="G222">
            <v>0</v>
          </cell>
        </row>
        <row r="223">
          <cell r="B223" t="str">
            <v>@=% ;]=dL=df]6fO{sf] l;d]G6 s+qmL6 -!M!!÷@M#_ df 8]Dk k|'lkmË ug]{ sfd =======================================================================</v>
          </cell>
          <cell r="C223">
            <v>71</v>
          </cell>
          <cell r="D223" t="str">
            <v>?=</v>
          </cell>
          <cell r="E223">
            <v>0</v>
          </cell>
          <cell r="F223" t="str">
            <v>j=dL=</v>
          </cell>
          <cell r="G223">
            <v>0</v>
          </cell>
        </row>
        <row r="224">
          <cell r="B224" t="str">
            <v>#=* ;]=dL=df]6fO{sf] l;d]G6 s+qmL6 -!M@M$_ df 8]Dk k|'lkmË ug]{ sfd =======================================================================</v>
          </cell>
          <cell r="C224">
            <v>71</v>
          </cell>
          <cell r="D224" t="str">
            <v>?=</v>
          </cell>
          <cell r="E224">
            <v>278.44</v>
          </cell>
          <cell r="F224" t="str">
            <v>j=dL=</v>
          </cell>
          <cell r="G224">
            <v>161</v>
          </cell>
        </row>
        <row r="225">
          <cell r="B225" t="str">
            <v>lj6'dLg k]G6 8]Dk k|'km sf];{df nufO{ afn'jfn] 5f]Kg] sfd =======================================================================</v>
          </cell>
          <cell r="C225">
            <v>71</v>
          </cell>
          <cell r="D225" t="str">
            <v>?=</v>
          </cell>
          <cell r="E225">
            <v>310.86</v>
          </cell>
          <cell r="F225" t="str">
            <v>j=dL=</v>
          </cell>
          <cell r="G225">
            <v>162</v>
          </cell>
        </row>
        <row r="226">
          <cell r="B226" t="str">
            <v>%)) u]hsf] kf]lnlyg zL6 Ps tx lj5\ofpg] sfd =======================================================================</v>
          </cell>
          <cell r="C226">
            <v>72</v>
          </cell>
          <cell r="D226" t="str">
            <v>?=</v>
          </cell>
          <cell r="E226">
            <v>374.95</v>
          </cell>
          <cell r="F226" t="str">
            <v>j=dL=</v>
          </cell>
          <cell r="G226">
            <v>163</v>
          </cell>
        </row>
        <row r="227">
          <cell r="B227" t="str">
            <v>Ps tx tf/km]N6 sfd =================================================================================</v>
          </cell>
          <cell r="C227">
            <v>72</v>
          </cell>
          <cell r="D227" t="str">
            <v>?=</v>
          </cell>
          <cell r="E227">
            <v>115.11</v>
          </cell>
          <cell r="F227" t="str">
            <v>j=dL=</v>
          </cell>
          <cell r="G227">
            <v>164</v>
          </cell>
        </row>
        <row r="228">
          <cell r="B228" t="str">
            <v>b'O{ tx tf/km]N6 sfd =======================================================================================</v>
          </cell>
          <cell r="C228">
            <v>72</v>
          </cell>
          <cell r="D228" t="str">
            <v>?=</v>
          </cell>
          <cell r="E228">
            <v>143.75</v>
          </cell>
          <cell r="F228" t="str">
            <v>j=dL=</v>
          </cell>
          <cell r="G228">
            <v>165</v>
          </cell>
        </row>
        <row r="229">
          <cell r="B229" t="str">
            <v>8]Dk k|'km u|]8 6f/km]N6 Ps tx nufpg] =======================================================================</v>
          </cell>
          <cell r="C229">
            <v>73</v>
          </cell>
          <cell r="D229" t="str">
            <v>?=</v>
          </cell>
          <cell r="E229">
            <v>227.35</v>
          </cell>
          <cell r="F229" t="str">
            <v>j=dL=</v>
          </cell>
          <cell r="G229">
            <v>166</v>
          </cell>
        </row>
        <row r="230">
          <cell r="B230" t="str">
            <v>b'O{ tx tf/km]N6 sfd =======================================================================================</v>
          </cell>
          <cell r="C230">
            <v>72</v>
          </cell>
          <cell r="D230" t="str">
            <v>?=</v>
          </cell>
          <cell r="E230">
            <v>319.41000000000003</v>
          </cell>
          <cell r="F230" t="str">
            <v>j=dL=</v>
          </cell>
          <cell r="G230">
            <v>167</v>
          </cell>
        </row>
        <row r="231">
          <cell r="B231" t="str">
            <v>8]Dk k|'km u|]8 6f/km]N6 Ps tx nufpg] =======================================================================</v>
          </cell>
          <cell r="C231">
            <v>73</v>
          </cell>
          <cell r="D231" t="str">
            <v>?=</v>
          </cell>
          <cell r="E231">
            <v>321.79000000000002</v>
          </cell>
          <cell r="F231" t="str">
            <v>j=dL=</v>
          </cell>
          <cell r="G231">
            <v>168</v>
          </cell>
        </row>
        <row r="233">
          <cell r="B233" t="str">
            <v>uf/f]sf] df]x8fdf lju|]sf] O{6f lgsfnL l;=af= -!M^_ df dd{t ug]{ sfd =======================================================================</v>
          </cell>
          <cell r="C233">
            <v>73</v>
          </cell>
          <cell r="D233" t="str">
            <v>?=</v>
          </cell>
          <cell r="E233">
            <v>0</v>
          </cell>
          <cell r="F233" t="str">
            <v>#=dL=</v>
          </cell>
          <cell r="G233">
            <v>0</v>
          </cell>
        </row>
        <row r="234">
          <cell r="B234" t="str">
            <v>k'/fgf] ;txdf lnG;L8 cfonn] k'5L tof/L Ogfd]n k]G6 ug]{ sfd =======================================================================</v>
          </cell>
          <cell r="C234">
            <v>73</v>
          </cell>
          <cell r="D234" t="str">
            <v>?=</v>
          </cell>
          <cell r="E234">
            <v>0</v>
          </cell>
          <cell r="F234" t="str">
            <v>j=dL=</v>
          </cell>
          <cell r="G234">
            <v>0</v>
          </cell>
        </row>
        <row r="235">
          <cell r="B235" t="str">
            <v>l;d]G6 jf jh| Knfi6/ eTsfpg] sfd  =======================================================================</v>
          </cell>
          <cell r="C235">
            <v>74</v>
          </cell>
          <cell r="D235" t="str">
            <v>?=</v>
          </cell>
          <cell r="E235">
            <v>12642.23</v>
          </cell>
          <cell r="F235" t="str">
            <v>j=dL=</v>
          </cell>
          <cell r="G235">
            <v>169</v>
          </cell>
        </row>
        <row r="236">
          <cell r="B236" t="str">
            <v>6fO{n 5fgf eTsfpg] sfd ==================================================================================</v>
          </cell>
          <cell r="C236">
            <v>74</v>
          </cell>
          <cell r="D236" t="str">
            <v>?=</v>
          </cell>
          <cell r="E236">
            <v>116.93</v>
          </cell>
          <cell r="F236" t="str">
            <v>j=dL=</v>
          </cell>
          <cell r="G236">
            <v>170</v>
          </cell>
        </row>
        <row r="237">
          <cell r="B237" t="str">
            <v>df6f]df hf]8]sf] uf/f] eTsfpg] sfd =======================================================================</v>
          </cell>
          <cell r="C237">
            <v>74</v>
          </cell>
          <cell r="D237" t="str">
            <v>?=</v>
          </cell>
          <cell r="E237">
            <v>34.15</v>
          </cell>
          <cell r="F237" t="str">
            <v>#=dL=</v>
          </cell>
          <cell r="G237">
            <v>171</v>
          </cell>
        </row>
        <row r="238">
          <cell r="B238" t="str">
            <v>l;d]G6 jf jh| hf]8]sf] uf/f] eTsfpg] sfd =======================================================================</v>
          </cell>
          <cell r="C238">
            <v>75</v>
          </cell>
          <cell r="D238" t="str">
            <v>?=</v>
          </cell>
          <cell r="E238">
            <v>51.38</v>
          </cell>
          <cell r="F238" t="str">
            <v>#=dL=</v>
          </cell>
          <cell r="G238">
            <v>172</v>
          </cell>
        </row>
        <row r="239">
          <cell r="B239" t="str">
            <v>cf/=;L=;L= jf cf/= lj=;L= eTsfpg] sfd =======================================================================</v>
          </cell>
          <cell r="C239">
            <v>75</v>
          </cell>
          <cell r="D239" t="str">
            <v>?=</v>
          </cell>
          <cell r="E239">
            <v>335.22</v>
          </cell>
          <cell r="F239" t="str">
            <v>#=dL=</v>
          </cell>
          <cell r="G239">
            <v>173</v>
          </cell>
        </row>
        <row r="240">
          <cell r="B240" t="str">
            <v>kL=;L=;L= jf Pn=;L=;L= eTsfpg] sfd =======================================================================</v>
          </cell>
          <cell r="C240">
            <v>75</v>
          </cell>
          <cell r="D240" t="str">
            <v>?=</v>
          </cell>
          <cell r="E240">
            <v>670.45</v>
          </cell>
          <cell r="F240" t="str">
            <v>#=dL=</v>
          </cell>
          <cell r="G240">
            <v>174</v>
          </cell>
        </row>
        <row r="241">
          <cell r="B241" t="str">
            <v>cf/=;L=;L= jf cf/= lj=;L= eTsfpg] sfd =======================================================================</v>
          </cell>
          <cell r="C241">
            <v>75</v>
          </cell>
          <cell r="D241" t="str">
            <v>?=</v>
          </cell>
          <cell r="E241">
            <v>3478.75</v>
          </cell>
          <cell r="F241" t="str">
            <v>#=dL=</v>
          </cell>
          <cell r="G241">
            <v>175</v>
          </cell>
        </row>
        <row r="242">
          <cell r="B242" t="str">
            <v>kL=;L=;L= jf Pn=;L=;L= eTsfpg] sfd =======================================================================</v>
          </cell>
          <cell r="C242">
            <v>75</v>
          </cell>
          <cell r="D242" t="str">
            <v>?=</v>
          </cell>
          <cell r="E242">
            <v>1265</v>
          </cell>
          <cell r="F242" t="str">
            <v>#=dL=</v>
          </cell>
          <cell r="G242">
            <v>176</v>
          </cell>
        </row>
        <row r="244">
          <cell r="B244" t="str">
            <v># X @) dL=dL=u|Ln jgfO{ hf]8\g] sfd -k]G6 ;d]t_ =======================================================================</v>
          </cell>
          <cell r="C244">
            <v>76</v>
          </cell>
          <cell r="D244" t="str">
            <v>?=</v>
          </cell>
          <cell r="E244">
            <v>0</v>
          </cell>
          <cell r="F244" t="str">
            <v>j=dL=</v>
          </cell>
          <cell r="G244">
            <v>0</v>
          </cell>
        </row>
        <row r="245">
          <cell r="B245" t="str">
            <v>$=% X @) dL=dL=u|Ln jgfO{ hf]8\g] sfd -k]G6 ;d]t_ =======================================================================</v>
          </cell>
          <cell r="C245">
            <v>76</v>
          </cell>
          <cell r="D245" t="str">
            <v>?=</v>
          </cell>
          <cell r="E245">
            <v>0</v>
          </cell>
          <cell r="F245" t="str">
            <v>j=dL=</v>
          </cell>
          <cell r="G245">
            <v>0</v>
          </cell>
        </row>
        <row r="246">
          <cell r="B246" t="str">
            <v>kmnfd] sf]nK;Ljn u]6 jgfO{ hf]8\g] sfd -k]G6 ;d]t_ =======================================================================</v>
          </cell>
          <cell r="C246">
            <v>76</v>
          </cell>
          <cell r="D246" t="str">
            <v>?=</v>
          </cell>
          <cell r="E246">
            <v>1763.29</v>
          </cell>
          <cell r="F246" t="str">
            <v>j=dL=</v>
          </cell>
          <cell r="G246">
            <v>177</v>
          </cell>
        </row>
        <row r="247">
          <cell r="B247" t="str">
            <v>kmnfd] /f]ln+u z6/ jgfO{ hf]8\g] sfd -k]G6 ;d]t_ =======================================================================</v>
          </cell>
          <cell r="C247">
            <v>77</v>
          </cell>
          <cell r="D247" t="str">
            <v>?=</v>
          </cell>
          <cell r="E247">
            <v>2348.87</v>
          </cell>
          <cell r="F247" t="str">
            <v>j=dL=</v>
          </cell>
          <cell r="G247">
            <v>178</v>
          </cell>
        </row>
        <row r="248">
          <cell r="B248" t="str">
            <v>kmnfd] u]6 jgfO{ hf]8\g] sfd -!^ u]hsf] kftf / %) dLdL= PËn, k]G6 ;lxt_===========================</v>
          </cell>
          <cell r="C248">
            <v>77</v>
          </cell>
          <cell r="D248" t="str">
            <v>?=</v>
          </cell>
          <cell r="E248">
            <v>3277.5</v>
          </cell>
          <cell r="F248" t="str">
            <v>j=dL=</v>
          </cell>
          <cell r="G248">
            <v>179</v>
          </cell>
        </row>
        <row r="249">
          <cell r="B249" t="str">
            <v>hL=cfO{=sf+8]tf/ nufpg] sfd ============================================================================</v>
          </cell>
          <cell r="C249">
            <v>77</v>
          </cell>
          <cell r="D249" t="str">
            <v>?=</v>
          </cell>
          <cell r="E249">
            <v>0</v>
          </cell>
          <cell r="F249" t="str">
            <v>/=dL=</v>
          </cell>
          <cell r="G249">
            <v>180</v>
          </cell>
        </row>
        <row r="250">
          <cell r="B250" t="str">
            <v># d+L= b"/Ldf vDaf uf8L sf+8]tf/ nufpg] sfd =============================================================</v>
          </cell>
          <cell r="C250">
            <v>78</v>
          </cell>
          <cell r="D250" t="str">
            <v>?=</v>
          </cell>
          <cell r="E250">
            <v>5122.83</v>
          </cell>
          <cell r="F250" t="str">
            <v>/=dL=</v>
          </cell>
          <cell r="G250">
            <v>181</v>
          </cell>
        </row>
        <row r="251">
          <cell r="B251" t="str">
            <v>-%nfOg l;wf,@ nfOg t];f]{ / ;fn sf7sf] kf]n ;lxt_</v>
          </cell>
          <cell r="C251">
            <v>77</v>
          </cell>
          <cell r="D251" t="str">
            <v>?=</v>
          </cell>
          <cell r="E251">
            <v>35.659999999999997</v>
          </cell>
          <cell r="F251" t="str">
            <v>/=dL=</v>
          </cell>
          <cell r="G251">
            <v>182</v>
          </cell>
        </row>
        <row r="252">
          <cell r="B252" t="str">
            <v># d+L= b"/Ldf vDaf uf8L sf+8]tf/ nufpg] sfd =============================================================</v>
          </cell>
          <cell r="C252">
            <v>78</v>
          </cell>
          <cell r="D252" t="str">
            <v>?=</v>
          </cell>
          <cell r="E252">
            <v>672.68</v>
          </cell>
          <cell r="F252" t="str">
            <v>/=dL=</v>
          </cell>
          <cell r="G252">
            <v>183</v>
          </cell>
        </row>
        <row r="253">
          <cell r="B253" t="str">
            <v>-%nfOg l;wf,@ nfOg t];f]{ / ;fn sf7sf] kf]n ;lxt_</v>
          </cell>
        </row>
        <row r="255">
          <cell r="B255" t="str">
            <v>Aluminum Fixed without Ventilator in 88 x 38.1 x 1.3 mm……………………………</v>
          </cell>
          <cell r="C255">
            <v>78</v>
          </cell>
          <cell r="D255" t="str">
            <v>?=</v>
          </cell>
          <cell r="E255">
            <v>0</v>
          </cell>
          <cell r="F255" t="str">
            <v>j=dL=</v>
          </cell>
          <cell r="G255">
            <v>0</v>
          </cell>
        </row>
        <row r="256">
          <cell r="B256" t="str">
            <v>Sliding window with fixed panels and ventilator in 88 x 38.1 x 1.3 mm……………..</v>
          </cell>
          <cell r="C256">
            <v>78</v>
          </cell>
          <cell r="D256" t="str">
            <v>?=</v>
          </cell>
          <cell r="E256">
            <v>0</v>
          </cell>
          <cell r="F256" t="str">
            <v>j=dL=</v>
          </cell>
          <cell r="G256">
            <v>0</v>
          </cell>
        </row>
        <row r="257">
          <cell r="B257" t="str">
            <v>Aluminium sliding door with naturally Anodized colour in 101 x 45 x 1.5 mm……..</v>
          </cell>
          <cell r="C257">
            <v>79</v>
          </cell>
          <cell r="D257" t="str">
            <v>?=</v>
          </cell>
          <cell r="E257">
            <v>0</v>
          </cell>
          <cell r="F257" t="str">
            <v>j=dL=</v>
          </cell>
          <cell r="G257">
            <v>184</v>
          </cell>
        </row>
        <row r="258">
          <cell r="B258" t="str">
            <v xml:space="preserve">Aluminium casement windows with naturally Anodized colour in 54 x 38 x 1.5 mm </v>
          </cell>
          <cell r="C258">
            <v>79</v>
          </cell>
          <cell r="D258" t="str">
            <v>?=</v>
          </cell>
          <cell r="E258">
            <v>0</v>
          </cell>
          <cell r="F258" t="str">
            <v>j=dL=</v>
          </cell>
          <cell r="G258">
            <v>185</v>
          </cell>
        </row>
        <row r="259">
          <cell r="B259" t="str">
            <v xml:space="preserve">Aluminium casement door with naturally Anodized colour in 101 x 45 x 1.5 mm </v>
          </cell>
          <cell r="C259">
            <v>80</v>
          </cell>
          <cell r="D259" t="str">
            <v>?=</v>
          </cell>
          <cell r="E259">
            <v>0</v>
          </cell>
          <cell r="F259" t="str">
            <v>j=dL=</v>
          </cell>
          <cell r="G259">
            <v>186</v>
          </cell>
        </row>
        <row r="260">
          <cell r="B260" t="str">
            <v>Aluminium swing door with naturally Anodized colour in 101 x 45 x 1.8 mm………</v>
          </cell>
          <cell r="C260">
            <v>80</v>
          </cell>
          <cell r="D260" t="str">
            <v>?=</v>
          </cell>
          <cell r="E260">
            <v>0</v>
          </cell>
          <cell r="F260" t="str">
            <v>j=dL=</v>
          </cell>
          <cell r="G260">
            <v>187</v>
          </cell>
        </row>
        <row r="261">
          <cell r="B261" t="str">
            <v>Aluminium sliding window (Two Tracks) with naturally Anodized colour in 88 x 38 x 1.3 mm =======================================================================</v>
          </cell>
          <cell r="C261">
            <v>80</v>
          </cell>
          <cell r="D261" t="str">
            <v>?=</v>
          </cell>
          <cell r="E261">
            <v>0</v>
          </cell>
          <cell r="F261" t="str">
            <v>j=dL=</v>
          </cell>
          <cell r="G261">
            <v>188</v>
          </cell>
        </row>
        <row r="262">
          <cell r="B262" t="str">
            <v>Aluminium fixed windows/partition with fixed ventilation in 101 x 45 x 1.5 mm……..</v>
          </cell>
          <cell r="C262">
            <v>81</v>
          </cell>
          <cell r="D262" t="str">
            <v>?=</v>
          </cell>
          <cell r="E262">
            <v>0</v>
          </cell>
          <cell r="F262" t="str">
            <v>j=dL=</v>
          </cell>
          <cell r="G262">
            <v>189</v>
          </cell>
        </row>
        <row r="263">
          <cell r="B263" t="str">
            <v>Black Pipe Tubular truss h8fg ug]{ sfd -k|fOd/ k]G6 ;lxt_ ===================================</v>
          </cell>
          <cell r="C263">
            <v>81</v>
          </cell>
          <cell r="D263" t="str">
            <v>?=</v>
          </cell>
          <cell r="E263">
            <v>0</v>
          </cell>
          <cell r="F263" t="str">
            <v>s]=hL=</v>
          </cell>
          <cell r="G263">
            <v>190</v>
          </cell>
        </row>
        <row r="264">
          <cell r="B264" t="str">
            <v>Black Pipe Tubular Purlin agfO{ h8fg ug]{ sfd -k|fOd/ k]G6 ;lxt_  =======================</v>
          </cell>
          <cell r="C264">
            <v>82</v>
          </cell>
          <cell r="D264" t="str">
            <v>?=</v>
          </cell>
          <cell r="E264">
            <v>0</v>
          </cell>
          <cell r="F264" t="str">
            <v>s]=hL=</v>
          </cell>
          <cell r="G264">
            <v>191</v>
          </cell>
        </row>
        <row r="265">
          <cell r="B265" t="str">
            <v>#Æx$Æ ;fOhsf] lz;f} sf7sf] x\of8/]n agfO{ lkm6 ug]{ ==========================================</v>
          </cell>
          <cell r="C265">
            <v>82</v>
          </cell>
          <cell r="D265" t="str">
            <v>?=</v>
          </cell>
          <cell r="E265">
            <v>169.38</v>
          </cell>
          <cell r="F265" t="str">
            <v>/=dL=</v>
          </cell>
          <cell r="G265">
            <v>192</v>
          </cell>
        </row>
        <row r="266">
          <cell r="B266" t="str">
            <v>¾" sf] :Sjfo/ kfO{k /]lnË jgfO{ ;fn jf lzzf}sf] Handrail h8fg ug]{ sfd=========</v>
          </cell>
          <cell r="C266">
            <v>83</v>
          </cell>
          <cell r="D266" t="str">
            <v>?=</v>
          </cell>
          <cell r="E266">
            <v>146.27000000000001</v>
          </cell>
          <cell r="F266" t="str">
            <v>j=dL=</v>
          </cell>
          <cell r="G266">
            <v>193</v>
          </cell>
        </row>
        <row r="267">
          <cell r="B267" t="str">
            <v>¾" kmnfd Square pipe railing agfO{ !!÷@Æ Jof;sf] sfnf] kfO{ksf] Handrail  h8fg ug]{ =======================================================================</v>
          </cell>
          <cell r="C267">
            <v>83</v>
          </cell>
          <cell r="D267" t="str">
            <v>?=</v>
          </cell>
          <cell r="E267">
            <v>0</v>
          </cell>
          <cell r="F267" t="str">
            <v>j=dL=</v>
          </cell>
          <cell r="G267">
            <v>194</v>
          </cell>
        </row>
        <row r="268">
          <cell r="B268" t="str">
            <v>k'/fgf] b/jf/sf] jflx/L efudf Pssf]6 White Wash ug]{ =======================================================================</v>
          </cell>
          <cell r="C268">
            <v>84</v>
          </cell>
          <cell r="D268" t="str">
            <v>?=</v>
          </cell>
          <cell r="E268">
            <v>1546.75</v>
          </cell>
          <cell r="F268" t="str">
            <v>j=dL=</v>
          </cell>
          <cell r="G268">
            <v>195</v>
          </cell>
        </row>
        <row r="269">
          <cell r="B269" t="str">
            <v>k'/fgf] b/jf/sf] jflx/L efudf Pssf]6 /fdltnsn] kf]Tg] sfd  =======================================================================</v>
          </cell>
          <cell r="C269">
            <v>84</v>
          </cell>
          <cell r="D269" t="str">
            <v>?=</v>
          </cell>
          <cell r="E269">
            <v>920</v>
          </cell>
          <cell r="F269" t="str">
            <v>j=dL=</v>
          </cell>
          <cell r="G269">
            <v>195.1</v>
          </cell>
        </row>
        <row r="270">
          <cell r="B270" t="str">
            <v>c:t/ jfx]s Pssf]6 tof/L Ogfd]n k]G6 ug]{ sfd =======================================================================</v>
          </cell>
          <cell r="C270">
            <v>85</v>
          </cell>
          <cell r="D270" t="str">
            <v>?=</v>
          </cell>
          <cell r="E270">
            <v>26.12</v>
          </cell>
          <cell r="F270" t="str">
            <v>j=dL=</v>
          </cell>
          <cell r="G270">
            <v>196</v>
          </cell>
        </row>
        <row r="271">
          <cell r="B271" t="str">
            <v>c:t/ jfx]s b'O{sf]6 tof/L Ogfd]n k]G6 ug]{ sfd =======================================================================</v>
          </cell>
          <cell r="C271">
            <v>85</v>
          </cell>
          <cell r="D271" t="str">
            <v>?=</v>
          </cell>
          <cell r="E271">
            <v>26.12</v>
          </cell>
          <cell r="F271" t="str">
            <v>j=dL=</v>
          </cell>
          <cell r="G271">
            <v>197</v>
          </cell>
        </row>
        <row r="272">
          <cell r="B272" t="str">
            <v>c:t/ jfx]s Pssf]6 Knfli6s OdN;g k]G6 ug]{ sfd =======================================================================</v>
          </cell>
          <cell r="C272">
            <v>85</v>
          </cell>
          <cell r="D272" t="str">
            <v>?=</v>
          </cell>
          <cell r="E272">
            <v>68.48</v>
          </cell>
          <cell r="F272" t="str">
            <v>j=dL=</v>
          </cell>
          <cell r="G272">
            <v>198</v>
          </cell>
        </row>
        <row r="273">
          <cell r="B273" t="str">
            <v>c:t/ jfx]s b'O{ sf]6 Knfli6s OdN;g k]G6 ug]{ sfd =======================================================================</v>
          </cell>
          <cell r="C273">
            <v>86</v>
          </cell>
          <cell r="D273" t="str">
            <v>?=</v>
          </cell>
          <cell r="E273">
            <v>126.84</v>
          </cell>
          <cell r="F273" t="str">
            <v>j=dL=</v>
          </cell>
          <cell r="G273">
            <v>199</v>
          </cell>
        </row>
        <row r="274">
          <cell r="B274" t="str">
            <v>c:t/ jfx]s Ps sf]6 cfNd'lgod k]G6 ug]{ sfd =======================================================================</v>
          </cell>
          <cell r="C274">
            <v>86</v>
          </cell>
          <cell r="D274" t="str">
            <v>?=</v>
          </cell>
          <cell r="E274">
            <v>76.760000000000005</v>
          </cell>
          <cell r="F274" t="str">
            <v>j=dL=</v>
          </cell>
          <cell r="G274">
            <v>200</v>
          </cell>
        </row>
        <row r="275">
          <cell r="B275" t="str">
            <v>c:t/ jfx]s b'O{ sf]6 cfNd'lgod k]G6 ug]{ sfd =======================================================================</v>
          </cell>
          <cell r="C275">
            <v>86</v>
          </cell>
          <cell r="D275" t="str">
            <v>?=</v>
          </cell>
          <cell r="E275">
            <v>141.56</v>
          </cell>
          <cell r="F275" t="str">
            <v>j=dL=</v>
          </cell>
          <cell r="G275">
            <v>201</v>
          </cell>
        </row>
        <row r="276">
          <cell r="B276" t="str">
            <v>c:t/ jfx]s Ps sf]6 /]6 cS;fO8 k]G6 ug]{ sfd =======================================================================</v>
          </cell>
          <cell r="C276">
            <v>87</v>
          </cell>
          <cell r="D276" t="str">
            <v>?=</v>
          </cell>
          <cell r="E276">
            <v>56.56</v>
          </cell>
          <cell r="F276" t="str">
            <v>j=dL=</v>
          </cell>
          <cell r="G276">
            <v>202</v>
          </cell>
        </row>
        <row r="277">
          <cell r="B277" t="str">
            <v>c:t/ jfx]s b'O{ sf]6 /]6 cS;fO8 k]G6 ug]{ sfd =======================================================================</v>
          </cell>
          <cell r="C277">
            <v>87</v>
          </cell>
          <cell r="D277" t="str">
            <v>?=</v>
          </cell>
          <cell r="E277">
            <v>114.98</v>
          </cell>
          <cell r="F277" t="str">
            <v>j=dL=</v>
          </cell>
          <cell r="G277">
            <v>203</v>
          </cell>
        </row>
        <row r="278">
          <cell r="B278" t="str">
            <v>!) SWG sf] G.I. Chain Link @Æx@Æ dL=dL= d]; ;fO{hsf] km]lG;Ë ug]{ sfd =======================================================================</v>
          </cell>
          <cell r="C278">
            <v>88</v>
          </cell>
          <cell r="D278" t="str">
            <v>?=</v>
          </cell>
          <cell r="E278">
            <v>56.6</v>
          </cell>
          <cell r="F278" t="str">
            <v>j=dL=</v>
          </cell>
          <cell r="G278">
            <v>204</v>
          </cell>
        </row>
        <row r="279">
          <cell r="B279" t="str">
            <v>&amp; dL=dL= kmnfd] 808Lsf] hfnL agfO{ km]lG;Ë ug]{ sfd =======================================================================</v>
          </cell>
          <cell r="C279">
            <v>88</v>
          </cell>
          <cell r="D279" t="str">
            <v>?=</v>
          </cell>
          <cell r="E279">
            <v>113.2</v>
          </cell>
          <cell r="F279" t="str">
            <v>j=dL=</v>
          </cell>
          <cell r="G279">
            <v>205</v>
          </cell>
        </row>
        <row r="280">
          <cell r="B280" t="str">
            <v>kmnfd] PËn km]lj|s]zg h8fg ug]{ sfd =======================================================================</v>
          </cell>
          <cell r="C280">
            <v>89</v>
          </cell>
          <cell r="D280" t="str">
            <v>?=</v>
          </cell>
          <cell r="E280">
            <v>2315.1860000000001</v>
          </cell>
          <cell r="F280" t="str">
            <v>s]=hL=</v>
          </cell>
          <cell r="G280">
            <v>206</v>
          </cell>
        </row>
        <row r="281">
          <cell r="B281" t="str">
            <v>!=@ dL=dL= kmfO{j/ Unf; zL6n] 5fgf 5fpg] sfd =======================================================================</v>
          </cell>
          <cell r="C281">
            <v>89</v>
          </cell>
          <cell r="D281" t="str">
            <v>?=</v>
          </cell>
          <cell r="E281">
            <v>2128.91365</v>
          </cell>
          <cell r="F281" t="str">
            <v>j=dL=</v>
          </cell>
          <cell r="G281">
            <v>207</v>
          </cell>
        </row>
        <row r="282">
          <cell r="B282" t="str">
            <v>!=@ dL=dL= kmfO{j/ Unf; zL6sf] w'/L 5fpg] sfd =======================================================================</v>
          </cell>
          <cell r="C282">
            <v>90</v>
          </cell>
          <cell r="D282" t="str">
            <v>?=</v>
          </cell>
          <cell r="E282">
            <v>131.68743400211193</v>
          </cell>
          <cell r="F282" t="str">
            <v>/=dL=</v>
          </cell>
          <cell r="G282">
            <v>208</v>
          </cell>
        </row>
        <row r="283">
          <cell r="B283" t="str">
            <v>!=@ dL=dL= kmfO{j/ Unf; zL6sf] w'/L 5fpg] sfd =====================================================</v>
          </cell>
          <cell r="C283">
            <v>90</v>
          </cell>
          <cell r="D283" t="str">
            <v>?=</v>
          </cell>
          <cell r="E283">
            <v>171.09100000000001</v>
          </cell>
          <cell r="F283" t="str">
            <v>j=dL=</v>
          </cell>
          <cell r="G283">
            <v>209</v>
          </cell>
        </row>
        <row r="284">
          <cell r="B284" t="str">
            <v>k'/fgf] dfj{n km\nf]/ ;kmf ug]{ sfd =======================================================================</v>
          </cell>
          <cell r="C284">
            <v>90</v>
          </cell>
          <cell r="D284" t="str">
            <v>?=</v>
          </cell>
          <cell r="E284">
            <v>198.375</v>
          </cell>
          <cell r="F284" t="str">
            <v>j=dL=</v>
          </cell>
          <cell r="G284">
            <v>210</v>
          </cell>
        </row>
        <row r="285">
          <cell r="B285" t="str">
            <v>k'/fgf] kfs]{6 km\nf]/ ;kmf ug]{ sfd =======================================================================</v>
          </cell>
          <cell r="C285">
            <v>91</v>
          </cell>
          <cell r="D285" t="str">
            <v>?=</v>
          </cell>
          <cell r="E285">
            <v>264.5</v>
          </cell>
          <cell r="F285" t="str">
            <v>j=dL=</v>
          </cell>
          <cell r="G285">
            <v>210.1</v>
          </cell>
        </row>
        <row r="286">
          <cell r="B286" t="str">
            <v>k'/fgf] df]Hofs km\nf]/ ;kmf ug]{ sfd  =======================================================================</v>
          </cell>
          <cell r="C286">
            <v>91</v>
          </cell>
          <cell r="D286" t="str">
            <v>?=</v>
          </cell>
          <cell r="E286">
            <v>110.17999999999999</v>
          </cell>
          <cell r="F286" t="str">
            <v>j=dL=</v>
          </cell>
          <cell r="G286">
            <v>211</v>
          </cell>
        </row>
        <row r="287">
          <cell r="B287" t="str">
            <v>l;d]G6 d;nfdf kfgL k§L agfpg] sfd  =======================================================================</v>
          </cell>
          <cell r="C287">
            <v>91</v>
          </cell>
          <cell r="D287" t="str">
            <v>?=</v>
          </cell>
          <cell r="E287">
            <v>71.658000000000001</v>
          </cell>
          <cell r="F287" t="str">
            <v>/=dL=</v>
          </cell>
          <cell r="G287">
            <v>212</v>
          </cell>
        </row>
        <row r="288">
          <cell r="B288" t="str">
            <v>h:tfkftfsf] 5fgf eTsfpg] sfd =============================================================================</v>
          </cell>
          <cell r="C288">
            <v>92</v>
          </cell>
          <cell r="D288" t="str">
            <v>?=</v>
          </cell>
          <cell r="E288">
            <v>131.61500000000001</v>
          </cell>
          <cell r="F288" t="str">
            <v>j=dL=</v>
          </cell>
          <cell r="G288">
            <v>213</v>
          </cell>
        </row>
        <row r="289">
          <cell r="B289" t="str">
            <v>!Æ afSnf] ?lkmË 6fon a'§f Knf:6/ ug]{ sfd =======================================================================</v>
          </cell>
          <cell r="C289">
            <v>92</v>
          </cell>
          <cell r="D289" t="str">
            <v>?=</v>
          </cell>
          <cell r="E289">
            <v>75.900000000000006</v>
          </cell>
          <cell r="F289" t="str">
            <v>j=dL=</v>
          </cell>
          <cell r="G289">
            <v>214</v>
          </cell>
        </row>
        <row r="290">
          <cell r="B290" t="str">
            <v>lhk jf]8{ Kn]g km\n;\ l;lnË ==================================================================================</v>
          </cell>
          <cell r="C290">
            <v>93</v>
          </cell>
          <cell r="D290" t="str">
            <v>?=</v>
          </cell>
          <cell r="E290">
            <v>25.53</v>
          </cell>
          <cell r="F290" t="str">
            <v>j=dL=</v>
          </cell>
          <cell r="G290">
            <v>215</v>
          </cell>
        </row>
        <row r="291">
          <cell r="B291" t="str">
            <v>lhk jf]8{ l8hfO{g km\n;\ l;lnË =============================================================================</v>
          </cell>
          <cell r="C291">
            <v>93</v>
          </cell>
          <cell r="D291" t="str">
            <v>?=</v>
          </cell>
          <cell r="E291">
            <v>632.5</v>
          </cell>
          <cell r="F291" t="str">
            <v>j=dL=</v>
          </cell>
          <cell r="G291">
            <v>216</v>
          </cell>
        </row>
        <row r="292">
          <cell r="B292" t="str">
            <v>PdlkPn lhk jf]8{ Kn]g km\n;\ l;lnË =======================================================================</v>
          </cell>
          <cell r="C292">
            <v>93</v>
          </cell>
          <cell r="D292" t="str">
            <v>?=</v>
          </cell>
          <cell r="E292">
            <v>0</v>
          </cell>
          <cell r="F292" t="str">
            <v>j=dL=</v>
          </cell>
          <cell r="G292">
            <v>217</v>
          </cell>
        </row>
        <row r="293">
          <cell r="B293" t="str">
            <v>PdlkPn lhk jf]8{ l8hfOg km\n;\ l;lnË =======================================================================</v>
          </cell>
          <cell r="C293">
            <v>94</v>
          </cell>
          <cell r="D293" t="str">
            <v>?=</v>
          </cell>
          <cell r="E293">
            <v>0</v>
          </cell>
          <cell r="F293" t="str">
            <v>j=dL=</v>
          </cell>
          <cell r="G293">
            <v>218</v>
          </cell>
        </row>
        <row r="294">
          <cell r="B294" t="str">
            <v>lhk jf]8{ 8«fO{jfn kfl6{;g ======================================================================================</v>
          </cell>
          <cell r="C294">
            <v>94</v>
          </cell>
          <cell r="D294" t="str">
            <v>?=</v>
          </cell>
          <cell r="E294">
            <v>0</v>
          </cell>
          <cell r="F294" t="str">
            <v>j=dL=</v>
          </cell>
          <cell r="G294">
            <v>219</v>
          </cell>
        </row>
        <row r="295">
          <cell r="B295" t="str">
            <v>lhk jf]8{ jfn kfgflnË ==========================================================================================</v>
          </cell>
          <cell r="C295">
            <v>94</v>
          </cell>
          <cell r="D295" t="str">
            <v>?=</v>
          </cell>
          <cell r="E295">
            <v>0</v>
          </cell>
          <cell r="F295" t="str">
            <v>j=dL=</v>
          </cell>
          <cell r="G295">
            <v>220</v>
          </cell>
        </row>
        <row r="296">
          <cell r="B296" t="str">
            <v>Ps tx Knfli6s km]N6 nufpg sfd =======================================================================</v>
          </cell>
          <cell r="C296">
            <v>95</v>
          </cell>
          <cell r="D296" t="str">
            <v>?=</v>
          </cell>
          <cell r="E296">
            <v>0</v>
          </cell>
          <cell r="F296" t="str">
            <v>j=dL=</v>
          </cell>
          <cell r="G296">
            <v>221</v>
          </cell>
        </row>
        <row r="297">
          <cell r="B297" t="str">
            <v>b'O{ tx Knfli6s km]N6 nufpg sfd ========================================================================</v>
          </cell>
          <cell r="C297">
            <v>95</v>
          </cell>
          <cell r="D297" t="str">
            <v>?=</v>
          </cell>
          <cell r="E297">
            <v>0</v>
          </cell>
          <cell r="F297" t="str">
            <v>j=dL=</v>
          </cell>
          <cell r="G297">
            <v>222</v>
          </cell>
        </row>
        <row r="298">
          <cell r="B298" t="str">
            <v>cfd{:6«fË jf]8{sf] km\n;\ l;lnË agfpg] sfd =======================================================================</v>
          </cell>
          <cell r="C298">
            <v>96</v>
          </cell>
          <cell r="D298" t="str">
            <v>?=</v>
          </cell>
          <cell r="E298">
            <v>227.35</v>
          </cell>
          <cell r="F298" t="str">
            <v>j=dL=</v>
          </cell>
          <cell r="G298">
            <v>223</v>
          </cell>
        </row>
        <row r="299">
          <cell r="B299" t="str">
            <v>O{nf:6«f]d]l/s jf6/k|'lkmË sf]l6Ë ug]{ sfd =======================================================================</v>
          </cell>
          <cell r="C299">
            <v>96</v>
          </cell>
          <cell r="D299" t="str">
            <v>?=</v>
          </cell>
          <cell r="E299">
            <v>319.41000000000003</v>
          </cell>
          <cell r="F299" t="str">
            <v>j=dL=</v>
          </cell>
          <cell r="G299">
            <v>224</v>
          </cell>
        </row>
        <row r="300">
          <cell r="B300" t="str">
            <v>kmnfd] 3'Dg] e¥ofË agfO{ h8fg ug]{ sfd =======================================================================</v>
          </cell>
          <cell r="C300">
            <v>97</v>
          </cell>
          <cell r="D300" t="str">
            <v>?=</v>
          </cell>
          <cell r="E300">
            <v>0</v>
          </cell>
          <cell r="F300" t="str">
            <v>/=dL=</v>
          </cell>
          <cell r="G300">
            <v>225</v>
          </cell>
        </row>
        <row r="301">
          <cell r="B301" t="str">
            <v>d]l;gd]8 Sn] 6fon jfn ;km]{;df 6fF:g] sfo{ =========================================================</v>
          </cell>
          <cell r="C301">
            <v>91</v>
          </cell>
          <cell r="D301" t="str">
            <v>?=</v>
          </cell>
          <cell r="E301">
            <v>581.57000000000005</v>
          </cell>
          <cell r="F301" t="str">
            <v>j=dL=</v>
          </cell>
          <cell r="G301">
            <v>226</v>
          </cell>
        </row>
        <row r="302">
          <cell r="B302" t="str">
            <v>kmnfd] 3'Dg] e¥ofË agfO{ h8fg ug]{ sfd =======================================================================</v>
          </cell>
          <cell r="C302">
            <v>97</v>
          </cell>
          <cell r="D302" t="str">
            <v>?=</v>
          </cell>
          <cell r="E302">
            <v>8298.4</v>
          </cell>
          <cell r="F302" t="str">
            <v>/=dL=</v>
          </cell>
          <cell r="G302">
            <v>227</v>
          </cell>
        </row>
        <row r="303">
          <cell r="B303" t="str">
            <v>d]l;gd]8 Sn] 6fon jfn ;km]{;df 6fF:g] sfo{ =========================================================</v>
          </cell>
          <cell r="C303">
            <v>91</v>
          </cell>
          <cell r="D303" t="str">
            <v>?=</v>
          </cell>
          <cell r="E303">
            <v>858.46</v>
          </cell>
          <cell r="F303" t="str">
            <v>j=dL=</v>
          </cell>
          <cell r="G303">
            <v>228</v>
          </cell>
        </row>
      </sheetData>
      <sheetData sheetId="2">
        <row r="17">
          <cell r="B17" t="str">
            <v>!#&amp; ;]=dL=uf]nfO{sf] ?v 9fNg] sfo{ xfFufx? sf6L ?vnfO{ 6'qmf kf/L lgdf{0f :ynaf6</v>
          </cell>
        </row>
        <row r="18">
          <cell r="B18" t="str">
            <v>!% dL6/ b'/L;Dd af]sgL ug]{ cfbL sfo{ ;d]t</v>
          </cell>
        </row>
        <row r="19">
          <cell r="B19" t="str">
            <v>b/ ljZn]if0fsf] nflu ?v ;+Vof ! lnOPsf]</v>
          </cell>
        </row>
        <row r="20">
          <cell r="B20" t="str">
            <v>;|f]t ;fwg</v>
          </cell>
          <cell r="C20" t="str">
            <v>tx÷lsl;d</v>
          </cell>
          <cell r="D20" t="str">
            <v>kl/df0f</v>
          </cell>
          <cell r="E20" t="str">
            <v>PsfO{</v>
          </cell>
          <cell r="F20" t="str">
            <v>b/ k|lt PsfO{</v>
          </cell>
          <cell r="G20" t="str">
            <v>/sd</v>
          </cell>
          <cell r="H20" t="str">
            <v>k|To]s ;|f]t ;fwgsf] hDdf</v>
          </cell>
        </row>
        <row r="21">
          <cell r="B21" t="str">
            <v>&gt;lds</v>
          </cell>
          <cell r="C21" t="str">
            <v xml:space="preserve"> HofdL</v>
          </cell>
          <cell r="D21">
            <v>4</v>
          </cell>
          <cell r="E21" t="str">
            <v>hjfg</v>
          </cell>
          <cell r="F21">
            <v>275</v>
          </cell>
          <cell r="G21">
            <v>1100</v>
          </cell>
          <cell r="H21">
            <v>1100</v>
          </cell>
        </row>
        <row r="22">
          <cell r="F22" t="str">
            <v>jf:tljs b//]6</v>
          </cell>
          <cell r="H22">
            <v>1100</v>
          </cell>
        </row>
        <row r="23">
          <cell r="B23" t="str">
            <v xml:space="preserve">b/ k|lt ! ?vsf] </v>
          </cell>
          <cell r="F23" t="str">
            <v>!%Ü 7]s]bf/ cf]e/x]8</v>
          </cell>
          <cell r="H23">
            <v>165</v>
          </cell>
        </row>
        <row r="24">
          <cell r="B24">
            <v>1265</v>
          </cell>
          <cell r="C24" t="str">
            <v>k}=</v>
          </cell>
          <cell r="F24" t="str">
            <v>hDdf b/ /]6</v>
          </cell>
          <cell r="H24">
            <v>1265</v>
          </cell>
        </row>
        <row r="29">
          <cell r="B29" t="str">
            <v xml:space="preserve">!@–#) ;]=dL= uf]nfO{sf] ?v h/f lemSg] sfo{ h/f p7fpg] / lgdf{0f :ynaf6 </v>
          </cell>
        </row>
        <row r="30">
          <cell r="B30" t="str">
            <v xml:space="preserve">!% dL6/ b"/L;Dd af]sfgL ug]{ </v>
          </cell>
        </row>
        <row r="32">
          <cell r="B32" t="str">
            <v>b/ ljZn]if0fsf] nflu ?v ;+Vof ! lnOPsf]</v>
          </cell>
        </row>
        <row r="33">
          <cell r="B33" t="str">
            <v>;|f]t ;fwg</v>
          </cell>
          <cell r="C33" t="str">
            <v>tx÷lsl;d</v>
          </cell>
          <cell r="D33" t="str">
            <v>kl/df0f</v>
          </cell>
          <cell r="E33" t="str">
            <v>PsfO{</v>
          </cell>
          <cell r="F33" t="str">
            <v>b/ k|lt PsfO{</v>
          </cell>
          <cell r="G33" t="str">
            <v>/sd</v>
          </cell>
          <cell r="H33" t="str">
            <v>k|To]s ;|f]t ;fwgsf] hDdf</v>
          </cell>
        </row>
        <row r="34">
          <cell r="B34" t="str">
            <v>&gt;lds</v>
          </cell>
          <cell r="C34" t="str">
            <v>Hofld</v>
          </cell>
          <cell r="D34">
            <v>0.4</v>
          </cell>
          <cell r="E34" t="str">
            <v>hjfg</v>
          </cell>
          <cell r="F34">
            <v>275</v>
          </cell>
          <cell r="G34">
            <v>110</v>
          </cell>
          <cell r="H34">
            <v>110</v>
          </cell>
        </row>
        <row r="35">
          <cell r="F35" t="str">
            <v>jf:tljs b//]6</v>
          </cell>
          <cell r="H35">
            <v>110</v>
          </cell>
        </row>
        <row r="36">
          <cell r="F36" t="str">
            <v>!%Ü 7]s]bf/sf] cf]e/x]8</v>
          </cell>
          <cell r="H36">
            <v>16.5</v>
          </cell>
        </row>
        <row r="37">
          <cell r="B37" t="str">
            <v>b/ k|lt ! ?vsf]</v>
          </cell>
          <cell r="F37" t="str">
            <v>hDdf b/ /]6</v>
          </cell>
          <cell r="H37">
            <v>126.5</v>
          </cell>
        </row>
        <row r="38">
          <cell r="B38">
            <v>126.5</v>
          </cell>
          <cell r="C38" t="str">
            <v>k}=</v>
          </cell>
        </row>
        <row r="41">
          <cell r="B41" t="str">
            <v>afSnf] emf/kft sf6\g] h/f lemSg] / lgdf{0f :ynaf6</v>
          </cell>
        </row>
        <row r="42">
          <cell r="B42" t="str">
            <v>@% dL6/ b"/L;Dd af]sfgL ug]{ cflb sfo{ ;d]t</v>
          </cell>
        </row>
        <row r="43">
          <cell r="B43" t="str">
            <v>b/ ljZn]if0fsf] nflu ! j=dL= lnOPsf]</v>
          </cell>
        </row>
        <row r="44">
          <cell r="B44" t="str">
            <v>;|f]t ;fwg</v>
          </cell>
          <cell r="C44" t="str">
            <v>tx÷lsl;d</v>
          </cell>
          <cell r="D44" t="str">
            <v>kl/df0f</v>
          </cell>
          <cell r="E44" t="str">
            <v>PsfO{</v>
          </cell>
          <cell r="F44" t="str">
            <v>b/ k|lt PsfO{</v>
          </cell>
          <cell r="G44" t="str">
            <v>/sd</v>
          </cell>
          <cell r="H44" t="str">
            <v>k|To]s ;|f]t ;fwgsf] hDdf</v>
          </cell>
        </row>
        <row r="45">
          <cell r="B45" t="str">
            <v>&gt;lds</v>
          </cell>
          <cell r="C45" t="str">
            <v>Hofld</v>
          </cell>
          <cell r="D45">
            <v>0.04</v>
          </cell>
          <cell r="E45" t="str">
            <v>hjfg</v>
          </cell>
          <cell r="F45">
            <v>275</v>
          </cell>
          <cell r="G45">
            <v>11</v>
          </cell>
          <cell r="H45">
            <v>11</v>
          </cell>
        </row>
        <row r="46">
          <cell r="F46" t="str">
            <v>jf:tljs b//]6</v>
          </cell>
          <cell r="H46">
            <v>11</v>
          </cell>
        </row>
        <row r="47">
          <cell r="F47" t="str">
            <v>!%Ü 7]s]bf/sf] cf]e/x]8</v>
          </cell>
          <cell r="H47">
            <v>1.6500000000000001</v>
          </cell>
        </row>
        <row r="48">
          <cell r="B48" t="str">
            <v>b/ k|lt j=dL=sf]</v>
          </cell>
          <cell r="F48" t="str">
            <v>hDdf b/ /]6</v>
          </cell>
          <cell r="H48">
            <v>12.65</v>
          </cell>
        </row>
        <row r="49">
          <cell r="B49">
            <v>12.65</v>
          </cell>
          <cell r="C49" t="str">
            <v>k}=</v>
          </cell>
        </row>
        <row r="54">
          <cell r="B54" t="str">
            <v>;km]{;nfO{ 8«]l;Ë ug]{ sfo{ vfN6f] k'g]{, p7]sf] df6f] sf6\g], ;tx ldnfpg]</v>
          </cell>
        </row>
        <row r="55">
          <cell r="B55" t="str">
            <v>cflb sfo{ ;d]t -;le{;/f]8 cflb_</v>
          </cell>
        </row>
        <row r="56">
          <cell r="B56" t="str">
            <v>b/ ljZn]if0fsf] nflu ! j=ld= lnOPsf]</v>
          </cell>
        </row>
        <row r="57">
          <cell r="B57" t="str">
            <v>;|f]t ;fwg</v>
          </cell>
          <cell r="C57" t="str">
            <v>tx÷lsl;d</v>
          </cell>
          <cell r="D57" t="str">
            <v>kl/df0f</v>
          </cell>
          <cell r="E57" t="str">
            <v>PsfO{</v>
          </cell>
          <cell r="F57" t="str">
            <v>b/ k|lt PsfO{</v>
          </cell>
          <cell r="G57" t="str">
            <v>/sd</v>
          </cell>
          <cell r="H57" t="str">
            <v>k|To]s ;|f]t ;fwgsf] hDdf</v>
          </cell>
        </row>
        <row r="58">
          <cell r="B58" t="str">
            <v>&gt;lds</v>
          </cell>
          <cell r="C58" t="str">
            <v>Hofld</v>
          </cell>
          <cell r="D58">
            <v>0.01</v>
          </cell>
          <cell r="E58" t="str">
            <v>hjfg</v>
          </cell>
          <cell r="F58">
            <v>275</v>
          </cell>
          <cell r="G58">
            <v>2.75</v>
          </cell>
          <cell r="H58">
            <v>2.75</v>
          </cell>
        </row>
        <row r="59">
          <cell r="F59" t="str">
            <v>jf:tljs b//]6</v>
          </cell>
          <cell r="H59">
            <v>2.75</v>
          </cell>
        </row>
        <row r="60">
          <cell r="F60" t="str">
            <v>!%Ü 7]s]bf/sf] cf]e/x]8</v>
          </cell>
          <cell r="H60">
            <v>0.41000000000000003</v>
          </cell>
        </row>
        <row r="61">
          <cell r="B61" t="str">
            <v>b/ k|lt j=dL=sf]</v>
          </cell>
          <cell r="F61" t="str">
            <v>hDdf b/ /]6</v>
          </cell>
          <cell r="H61">
            <v>3.16</v>
          </cell>
        </row>
        <row r="62">
          <cell r="B62">
            <v>3.16</v>
          </cell>
          <cell r="C62" t="str">
            <v>k}=</v>
          </cell>
        </row>
        <row r="67">
          <cell r="B67" t="str">
            <v>dflyNNff] df6f] vGg] sfd, lgdf{0f :ynaf6 jflx/ af]sgL ug]{ ;d]t</v>
          </cell>
        </row>
        <row r="68">
          <cell r="B68" t="str">
            <v>-df6f]sf] txsf] df]6fO{ !%–@) ;]=dL=_</v>
          </cell>
        </row>
        <row r="69">
          <cell r="B69" t="str">
            <v>b/ ljZn]if0fsf] nflu ! j=ld= lnOPsf]</v>
          </cell>
        </row>
        <row r="70">
          <cell r="B70" t="str">
            <v>;|f]t ;fwg</v>
          </cell>
          <cell r="C70" t="str">
            <v>tx÷lsl;d</v>
          </cell>
          <cell r="D70" t="str">
            <v>kl/df0f</v>
          </cell>
          <cell r="E70" t="str">
            <v>PsfO{</v>
          </cell>
          <cell r="F70" t="str">
            <v>b/ k|lt PsfO{</v>
          </cell>
          <cell r="G70" t="str">
            <v>/sd</v>
          </cell>
          <cell r="H70" t="str">
            <v>k|To]s ;|f]t ;fwgsf] hDdf</v>
          </cell>
        </row>
        <row r="71">
          <cell r="B71" t="str">
            <v>&gt;lds</v>
          </cell>
          <cell r="C71" t="str">
            <v>Hofld</v>
          </cell>
          <cell r="D71">
            <v>0.16</v>
          </cell>
          <cell r="E71" t="str">
            <v>hjfg</v>
          </cell>
          <cell r="F71">
            <v>275</v>
          </cell>
          <cell r="G71">
            <v>44</v>
          </cell>
          <cell r="H71">
            <v>44</v>
          </cell>
        </row>
        <row r="72">
          <cell r="F72" t="str">
            <v>jf:tljs b//]6</v>
          </cell>
          <cell r="H72">
            <v>44</v>
          </cell>
        </row>
        <row r="73">
          <cell r="F73" t="str">
            <v>!%Ü 7]s]bf/ cf]e/x]8</v>
          </cell>
          <cell r="H73">
            <v>6.6000000000000005</v>
          </cell>
        </row>
        <row r="74">
          <cell r="B74" t="str">
            <v>b/ k|lt j=dL=sf]</v>
          </cell>
          <cell r="F74" t="str">
            <v>hDdf b/ /]6</v>
          </cell>
          <cell r="H74">
            <v>50.6</v>
          </cell>
        </row>
        <row r="75">
          <cell r="B75">
            <v>50.6</v>
          </cell>
          <cell r="C75" t="str">
            <v>k}=</v>
          </cell>
        </row>
        <row r="78">
          <cell r="B78" t="str">
            <v xml:space="preserve">;fO6 ;kmf ug]{ sfd -emf/kft sf6\g], ?v 9fNg] / x6fpg] sfd . </v>
          </cell>
        </row>
        <row r="79">
          <cell r="B79" t="str">
            <v>b/ ljZn]if0fsf] nflu ! j=ld= lnOPsf]</v>
          </cell>
        </row>
        <row r="81">
          <cell r="B81" t="str">
            <v>;|f]t ;fwg</v>
          </cell>
          <cell r="C81" t="str">
            <v>tx÷lsl;d</v>
          </cell>
          <cell r="D81" t="str">
            <v>kl/df0f</v>
          </cell>
          <cell r="E81" t="str">
            <v>PsfO{</v>
          </cell>
          <cell r="F81" t="str">
            <v>b/ k|lt PsfO{</v>
          </cell>
          <cell r="G81" t="str">
            <v>/sd</v>
          </cell>
          <cell r="H81" t="str">
            <v>k|To]s ;|f]t ;fwgsf] hDdf</v>
          </cell>
        </row>
        <row r="82">
          <cell r="B82" t="str">
            <v>&gt;lds</v>
          </cell>
          <cell r="C82" t="str">
            <v>Hofld</v>
          </cell>
          <cell r="D82">
            <v>0.06</v>
          </cell>
          <cell r="E82" t="str">
            <v>hjfg</v>
          </cell>
          <cell r="F82">
            <v>275</v>
          </cell>
          <cell r="G82">
            <v>16.5</v>
          </cell>
          <cell r="H82">
            <v>16.5</v>
          </cell>
        </row>
        <row r="83">
          <cell r="F83" t="str">
            <v>jf:tljs b//]6</v>
          </cell>
          <cell r="H83">
            <v>16.5</v>
          </cell>
        </row>
        <row r="84">
          <cell r="B84" t="str">
            <v>b/ k|lt j=dL=sf]</v>
          </cell>
          <cell r="F84" t="str">
            <v>!%Ü 7]s]bf/ cf]e/x]8</v>
          </cell>
          <cell r="H84">
            <v>2.4700000000000002</v>
          </cell>
        </row>
        <row r="85">
          <cell r="B85">
            <v>18.97</v>
          </cell>
          <cell r="C85" t="str">
            <v>k}=</v>
          </cell>
          <cell r="F85" t="str">
            <v>hDdf b/ /]6</v>
          </cell>
          <cell r="H85">
            <v>18.97</v>
          </cell>
        </row>
        <row r="90">
          <cell r="B90" t="str">
            <v>g/d k|sf/sf] Sn] / l;N6L df6f]df ;j} lsl;dsf] vGg] sfd !) dL6/</v>
          </cell>
        </row>
      </sheetData>
      <sheetData sheetId="3">
        <row r="12">
          <cell r="C12" t="str">
            <v>!) dL=dL=9'+uf -qm;\8_ /f]8f</v>
          </cell>
          <cell r="D12">
            <v>0.28999999999999998</v>
          </cell>
          <cell r="E12" t="str">
            <v>3=dL=</v>
          </cell>
          <cell r="F12">
            <v>1800</v>
          </cell>
        </row>
        <row r="13">
          <cell r="C13" t="str">
            <v>v;|f] afn'jf</v>
          </cell>
          <cell r="D13">
            <v>0.42499999999999999</v>
          </cell>
          <cell r="E13" t="str">
            <v>3=dL=</v>
          </cell>
          <cell r="F13">
            <v>1800</v>
          </cell>
        </row>
        <row r="14">
          <cell r="F14" t="str">
            <v>jf:tljs b//]6</v>
          </cell>
        </row>
        <row r="15">
          <cell r="B15" t="str">
            <v>b/ k|lt 3=dL=sf]</v>
          </cell>
          <cell r="F15" t="str">
            <v>!%Ü 7]s]bf/ cf]e/x]8</v>
          </cell>
        </row>
        <row r="16">
          <cell r="B16">
            <v>18621.95</v>
          </cell>
          <cell r="C16" t="str">
            <v>k}=</v>
          </cell>
          <cell r="F16" t="str">
            <v>hDdf b/ /]6</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VIP1"/>
      <sheetName val="VIP2"/>
      <sheetName val="VIP3"/>
      <sheetName val="DP Lat"/>
      <sheetName val="RtAn"/>
      <sheetName val="MatCol"/>
      <sheetName val="D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1">
          <cell r="K41">
            <v>1222.8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VIP1"/>
      <sheetName val="VIP2"/>
      <sheetName val="VIP3"/>
      <sheetName val="DP Lat"/>
      <sheetName val="RtAn"/>
      <sheetName val="MatCol"/>
      <sheetName val="D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1">
          <cell r="K41">
            <v>1222.8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rative chart"/>
      <sheetName val="RA Road Original"/>
      <sheetName val="RA DTO "/>
      <sheetName val="Breakdown of SG &amp; WBM"/>
      <sheetName val=" Final EStimate "/>
      <sheetName val="Abstract of man &amp; pitch"/>
      <sheetName val="EStimate of Manhole"/>
      <sheetName val="Rate analysis of Road"/>
      <sheetName val="EStimate &amp; Abs.Sheet"/>
      <sheetName val="Survey"/>
      <sheetName val="Contractor Rate"/>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
      <sheetName val="Features"/>
      <sheetName val="Dmand 2"/>
      <sheetName val="Dmand 1"/>
      <sheetName val="ProfileData"/>
      <sheetName val="PipeDesign"/>
      <sheetName val="PipeLineWork"/>
      <sheetName val="PipeList"/>
      <sheetName val="PFdata"/>
      <sheetName val="PD-TMPLT"/>
      <sheetName val="FitData"/>
      <sheetName val="DrawingControls"/>
      <sheetName val="Profile"/>
      <sheetName val="FlowDiagram"/>
      <sheetName val="Fittings"/>
      <sheetName val="T&amp;P"/>
      <sheetName val="Summary"/>
    </sheetNames>
    <sheetDataSet>
      <sheetData sheetId="0"/>
      <sheetData sheetId="1">
        <row r="18">
          <cell r="B18" t="str">
            <v>Spring Intake1</v>
          </cell>
        </row>
        <row r="19">
          <cell r="B19" t="str">
            <v>Spring Intake2</v>
          </cell>
        </row>
        <row r="20">
          <cell r="B20" t="str">
            <v>Fed Stream Intake1</v>
          </cell>
        </row>
        <row r="21">
          <cell r="B21" t="str">
            <v>Stream Intake2</v>
          </cell>
        </row>
        <row r="22">
          <cell r="B22" t="str">
            <v>Stream Intake3</v>
          </cell>
        </row>
        <row r="23">
          <cell r="B23" t="str">
            <v>Masonry C.C</v>
          </cell>
        </row>
        <row r="24">
          <cell r="B24" t="str">
            <v>Masonry Sed. Tank</v>
          </cell>
        </row>
        <row r="25">
          <cell r="B25" t="str">
            <v>Ferro Sed. Tank</v>
          </cell>
        </row>
        <row r="26">
          <cell r="B26" t="str">
            <v>Masonry I.C.</v>
          </cell>
        </row>
        <row r="27">
          <cell r="B27" t="str">
            <v>Piped BPC</v>
          </cell>
        </row>
        <row r="28">
          <cell r="B28" t="str">
            <v>Masonry BPT</v>
          </cell>
        </row>
        <row r="29">
          <cell r="B29" t="str">
            <v>Valve Chamber</v>
          </cell>
        </row>
        <row r="30">
          <cell r="B30" t="str">
            <v>Airvalve Chamber</v>
          </cell>
        </row>
        <row r="31">
          <cell r="B31" t="str">
            <v>Cable Crossing (No)</v>
          </cell>
        </row>
        <row r="32">
          <cell r="B32" t="str">
            <v>GI Crossing (No)</v>
          </cell>
        </row>
        <row r="33">
          <cell r="B33" t="str">
            <v>Riverbed Crossing (m)</v>
          </cell>
        </row>
        <row r="34">
          <cell r="B34" t="str">
            <v>Masonry D.C.</v>
          </cell>
        </row>
        <row r="35">
          <cell r="B35" t="str">
            <v>Ferrocement RT - 1m3</v>
          </cell>
        </row>
        <row r="36">
          <cell r="B36" t="str">
            <v>Ferrocement RT - 2m3</v>
          </cell>
        </row>
        <row r="37">
          <cell r="B37" t="str">
            <v>Ferrocement RT - 3m3</v>
          </cell>
        </row>
        <row r="38">
          <cell r="B38" t="str">
            <v>Ferrocement RT - 4m3</v>
          </cell>
        </row>
        <row r="39">
          <cell r="B39" t="str">
            <v>Ferrocement RT - 5m3</v>
          </cell>
        </row>
        <row r="40">
          <cell r="B40" t="str">
            <v>Ferrocement RT - 6m3</v>
          </cell>
        </row>
        <row r="41">
          <cell r="B41" t="str">
            <v>Ferrocement RT - 7m3</v>
          </cell>
        </row>
        <row r="42">
          <cell r="B42" t="str">
            <v>Ferrocement RT - 8m3</v>
          </cell>
        </row>
        <row r="43">
          <cell r="B43" t="str">
            <v>Ferrocement RT - 9m3</v>
          </cell>
        </row>
        <row r="44">
          <cell r="B44" t="str">
            <v>Ferrocement RT - 10m3</v>
          </cell>
        </row>
        <row r="45">
          <cell r="B45" t="str">
            <v>Ferrocement RT - 12m3</v>
          </cell>
        </row>
        <row r="46">
          <cell r="B46" t="str">
            <v>Ferrocement RT - 14m3</v>
          </cell>
        </row>
        <row r="47">
          <cell r="B47" t="str">
            <v>Ferrocement RT - 16m3</v>
          </cell>
        </row>
        <row r="48">
          <cell r="B48" t="str">
            <v>Ferrocement RT - 18m3</v>
          </cell>
        </row>
        <row r="49">
          <cell r="B49" t="str">
            <v>Ferrocement RT - 20m3</v>
          </cell>
        </row>
        <row r="50">
          <cell r="B50" t="str">
            <v>Masonry RT    - 1m3</v>
          </cell>
        </row>
        <row r="51">
          <cell r="B51" t="str">
            <v>Masonry RT    - 5m3</v>
          </cell>
        </row>
        <row r="52">
          <cell r="B52" t="str">
            <v>Masonry RT    - 75m3</v>
          </cell>
        </row>
        <row r="53">
          <cell r="B53" t="str">
            <v>Masonry RT    - 100m3</v>
          </cell>
        </row>
        <row r="54">
          <cell r="B54" t="str">
            <v>Masonry RT    - 150m3</v>
          </cell>
        </row>
        <row r="55">
          <cell r="B55" t="str">
            <v>Masonry RT    - 175m3</v>
          </cell>
        </row>
        <row r="56">
          <cell r="B56" t="str">
            <v>Masonry RT    - 200m3</v>
          </cell>
        </row>
        <row r="57">
          <cell r="B57" t="str">
            <v>Masonry RT    - 250m3</v>
          </cell>
        </row>
        <row r="58">
          <cell r="B58" t="str">
            <v>Masonry RT    - 300m3</v>
          </cell>
        </row>
        <row r="59">
          <cell r="B59" t="str">
            <v>Masonry RT    - 400m3</v>
          </cell>
        </row>
        <row r="60">
          <cell r="B60" t="str">
            <v>RCC RT        - 50m3</v>
          </cell>
        </row>
        <row r="61">
          <cell r="B61" t="str">
            <v>RCC RT        - 75m3</v>
          </cell>
        </row>
        <row r="62">
          <cell r="B62" t="str">
            <v>RCC RT        - 100m3</v>
          </cell>
        </row>
        <row r="63">
          <cell r="B63" t="str">
            <v>RCC RT        - 150m3</v>
          </cell>
        </row>
        <row r="64">
          <cell r="B64" t="str">
            <v>RCC RT        - 200m3</v>
          </cell>
        </row>
        <row r="65">
          <cell r="B65" t="str">
            <v>Barbed Fencing-I  (m)</v>
          </cell>
        </row>
        <row r="66">
          <cell r="B66" t="str">
            <v>Barbed Fencing-II  (m)</v>
          </cell>
        </row>
        <row r="67">
          <cell r="B67" t="str">
            <v>RR Masonry &amp; Grill Gate</v>
          </cell>
        </row>
        <row r="68">
          <cell r="B68" t="str">
            <v>Public Tapstand-I</v>
          </cell>
        </row>
        <row r="69">
          <cell r="B69" t="str">
            <v>Public Tapstand-II</v>
          </cell>
        </row>
        <row r="70">
          <cell r="B70" t="str">
            <v>Public Tapstand-III</v>
          </cell>
        </row>
        <row r="71">
          <cell r="B71" t="str">
            <v>Public Tapstand-IIA</v>
          </cell>
        </row>
        <row r="72">
          <cell r="B72" t="str">
            <v>Point Source  -Panera</v>
          </cell>
        </row>
        <row r="73">
          <cell r="B73" t="str">
            <v>Point Source  -Kuwa</v>
          </cell>
        </row>
        <row r="74">
          <cell r="B74" t="str">
            <v>VIP Latrine1</v>
          </cell>
        </row>
        <row r="75">
          <cell r="B75" t="str">
            <v>VIP Latrine2</v>
          </cell>
        </row>
        <row r="76">
          <cell r="B76" t="str">
            <v>VIP Latrine3</v>
          </cell>
        </row>
        <row r="77">
          <cell r="B77" t="str">
            <v>Direct Pit Latrine</v>
          </cell>
        </row>
        <row r="78">
          <cell r="B78" t="str">
            <v xml:space="preserve">Pipeline/Intake Protection </v>
          </cell>
        </row>
        <row r="79">
          <cell r="B79" t="str">
            <v>Watchman's quarter</v>
          </cell>
        </row>
        <row r="80">
          <cell r="B80" t="str">
            <v>Others if any</v>
          </cell>
        </row>
        <row r="81">
          <cell r="B81" t="str">
            <v>Transmission Main (m)</v>
          </cell>
        </row>
        <row r="82">
          <cell r="B82" t="str">
            <v>Distribution Line (m)</v>
          </cell>
        </row>
        <row r="83">
          <cell r="B83" t="str">
            <v>Total Pipeline (m)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 rate"/>
      <sheetName val="update Rate"/>
      <sheetName val="Table of Content"/>
      <sheetName val="Update Descrip"/>
      <sheetName val="Sheet2"/>
      <sheetName val="Abstract"/>
    </sheetNames>
    <sheetDataSet>
      <sheetData sheetId="0" refreshError="1"/>
      <sheetData sheetId="1">
        <row r="41">
          <cell r="E41">
            <v>1678.56</v>
          </cell>
        </row>
      </sheetData>
      <sheetData sheetId="2"/>
      <sheetData sheetId="3" refreshError="1"/>
      <sheetData sheetId="4"/>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VIP1"/>
      <sheetName val="VIP2"/>
      <sheetName val="VIP3"/>
      <sheetName val="DP Lat"/>
      <sheetName val="RtAn"/>
      <sheetName val="MatCol"/>
      <sheetName val="D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row r="1">
          <cell r="B1">
            <v>13</v>
          </cell>
        </row>
      </sheetData>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
      <sheetName val="Features"/>
      <sheetName val="Dmand 2"/>
      <sheetName val="Dmand 1"/>
      <sheetName val="ProfileData"/>
      <sheetName val="PipeDesign"/>
      <sheetName val="PipeLineWork"/>
      <sheetName val="PipeList"/>
      <sheetName val="PFdata"/>
      <sheetName val="PD-TMPLT"/>
      <sheetName val="FitData"/>
      <sheetName val="DrawingControls"/>
      <sheetName val="Profile"/>
      <sheetName val="FlowDiagram"/>
      <sheetName val="Fittings"/>
      <sheetName val="T&amp;P"/>
      <sheetName val="Summary"/>
    </sheetNames>
    <sheetDataSet>
      <sheetData sheetId="0"/>
      <sheetData sheetId="1">
        <row r="18">
          <cell r="B18" t="str">
            <v>Spring Intake1</v>
          </cell>
        </row>
        <row r="19">
          <cell r="B19" t="str">
            <v>Spring Intake2</v>
          </cell>
        </row>
        <row r="20">
          <cell r="B20" t="str">
            <v>Fed Stream Intake1</v>
          </cell>
        </row>
        <row r="21">
          <cell r="B21" t="str">
            <v>Stream Intake2</v>
          </cell>
        </row>
        <row r="22">
          <cell r="B22" t="str">
            <v>Stream Intake3</v>
          </cell>
        </row>
        <row r="23">
          <cell r="B23" t="str">
            <v>Masonry C.C</v>
          </cell>
        </row>
        <row r="24">
          <cell r="B24" t="str">
            <v>Masonry Sed. Tank</v>
          </cell>
        </row>
        <row r="25">
          <cell r="B25" t="str">
            <v>Ferro Sed. Tank</v>
          </cell>
        </row>
        <row r="26">
          <cell r="B26" t="str">
            <v>Masonry I.C.</v>
          </cell>
        </row>
        <row r="27">
          <cell r="B27" t="str">
            <v>Piped BPC</v>
          </cell>
        </row>
        <row r="28">
          <cell r="B28" t="str">
            <v>Masonry BPT</v>
          </cell>
        </row>
        <row r="29">
          <cell r="B29" t="str">
            <v>Valve Chamber</v>
          </cell>
        </row>
        <row r="30">
          <cell r="B30" t="str">
            <v>Airvalve Chamber</v>
          </cell>
        </row>
        <row r="31">
          <cell r="B31" t="str">
            <v>Cable Crossing (No)</v>
          </cell>
        </row>
        <row r="32">
          <cell r="B32" t="str">
            <v>GI Crossing (No)</v>
          </cell>
        </row>
        <row r="33">
          <cell r="B33" t="str">
            <v>Riverbed Crossing (m)</v>
          </cell>
        </row>
        <row r="34">
          <cell r="B34" t="str">
            <v>Masonry D.C.</v>
          </cell>
        </row>
        <row r="35">
          <cell r="B35" t="str">
            <v>Ferrocement RT - 1m3</v>
          </cell>
        </row>
        <row r="36">
          <cell r="B36" t="str">
            <v>Ferrocement RT - 2m3</v>
          </cell>
        </row>
        <row r="37">
          <cell r="B37" t="str">
            <v>Ferrocement RT - 3m3</v>
          </cell>
        </row>
        <row r="38">
          <cell r="B38" t="str">
            <v>Ferrocement RT - 4m3</v>
          </cell>
        </row>
        <row r="39">
          <cell r="B39" t="str">
            <v>Ferrocement RT - 5m3</v>
          </cell>
        </row>
        <row r="40">
          <cell r="B40" t="str">
            <v>Ferrocement RT - 6m3</v>
          </cell>
        </row>
        <row r="41">
          <cell r="B41" t="str">
            <v>Ferrocement RT - 7m3</v>
          </cell>
        </row>
        <row r="42">
          <cell r="B42" t="str">
            <v>Ferrocement RT - 8m3</v>
          </cell>
        </row>
        <row r="43">
          <cell r="B43" t="str">
            <v>Ferrocement RT - 9m3</v>
          </cell>
        </row>
        <row r="44">
          <cell r="B44" t="str">
            <v>Ferrocement RT - 10m3</v>
          </cell>
        </row>
        <row r="45">
          <cell r="B45" t="str">
            <v>Ferrocement RT - 12m3</v>
          </cell>
        </row>
        <row r="46">
          <cell r="B46" t="str">
            <v>Ferrocement RT - 14m3</v>
          </cell>
        </row>
        <row r="47">
          <cell r="B47" t="str">
            <v>Ferrocement RT - 16m3</v>
          </cell>
        </row>
        <row r="48">
          <cell r="B48" t="str">
            <v>Ferrocement RT - 18m3</v>
          </cell>
        </row>
        <row r="49">
          <cell r="B49" t="str">
            <v>Ferrocement RT - 20m3</v>
          </cell>
        </row>
        <row r="50">
          <cell r="B50" t="str">
            <v>Masonry RT    - 1m3</v>
          </cell>
        </row>
        <row r="51">
          <cell r="B51" t="str">
            <v>Masonry RT    - 5m3</v>
          </cell>
        </row>
        <row r="52">
          <cell r="B52" t="str">
            <v>Masonry RT    - 75m3</v>
          </cell>
        </row>
        <row r="53">
          <cell r="B53" t="str">
            <v>Masonry RT    - 100m3</v>
          </cell>
        </row>
        <row r="54">
          <cell r="B54" t="str">
            <v>Masonry RT    - 150m3</v>
          </cell>
        </row>
        <row r="55">
          <cell r="B55" t="str">
            <v>Masonry RT    - 175m3</v>
          </cell>
        </row>
        <row r="56">
          <cell r="B56" t="str">
            <v>Masonry RT    - 200m3</v>
          </cell>
        </row>
        <row r="57">
          <cell r="B57" t="str">
            <v>Masonry RT    - 250m3</v>
          </cell>
        </row>
        <row r="58">
          <cell r="B58" t="str">
            <v>Masonry RT    - 300m3</v>
          </cell>
        </row>
        <row r="59">
          <cell r="B59" t="str">
            <v>Masonry RT    - 400m3</v>
          </cell>
        </row>
        <row r="60">
          <cell r="B60" t="str">
            <v>RCC RT        - 50m3</v>
          </cell>
        </row>
        <row r="61">
          <cell r="B61" t="str">
            <v>RCC RT        - 75m3</v>
          </cell>
        </row>
        <row r="62">
          <cell r="B62" t="str">
            <v>RCC RT        - 100m3</v>
          </cell>
        </row>
        <row r="63">
          <cell r="B63" t="str">
            <v>RCC RT        - 150m3</v>
          </cell>
        </row>
        <row r="64">
          <cell r="B64" t="str">
            <v>RCC RT        - 200m3</v>
          </cell>
        </row>
        <row r="65">
          <cell r="B65" t="str">
            <v>Barbed Fencing-I  (m)</v>
          </cell>
        </row>
        <row r="66">
          <cell r="B66" t="str">
            <v>Barbed Fencing-II  (m)</v>
          </cell>
        </row>
        <row r="67">
          <cell r="B67" t="str">
            <v>RR Masonry &amp; Grill Gate</v>
          </cell>
        </row>
        <row r="68">
          <cell r="B68" t="str">
            <v>Public Tapstand-I</v>
          </cell>
        </row>
        <row r="69">
          <cell r="B69" t="str">
            <v>Public Tapstand-II</v>
          </cell>
        </row>
        <row r="70">
          <cell r="B70" t="str">
            <v>Public Tapstand-III</v>
          </cell>
        </row>
        <row r="71">
          <cell r="B71" t="str">
            <v>Public Tapstand-IIA</v>
          </cell>
        </row>
        <row r="72">
          <cell r="B72" t="str">
            <v>Point Source  -Panera</v>
          </cell>
        </row>
        <row r="73">
          <cell r="B73" t="str">
            <v>Point Source  -Kuwa</v>
          </cell>
        </row>
        <row r="74">
          <cell r="B74" t="str">
            <v>VIP Latrine1</v>
          </cell>
        </row>
        <row r="75">
          <cell r="B75" t="str">
            <v>VIP Latrine2</v>
          </cell>
        </row>
        <row r="76">
          <cell r="B76" t="str">
            <v>VIP Latrine3</v>
          </cell>
        </row>
        <row r="77">
          <cell r="B77" t="str">
            <v>Direct Pit Latrine</v>
          </cell>
        </row>
        <row r="78">
          <cell r="B78" t="str">
            <v xml:space="preserve">Pipeline/Intake Protection </v>
          </cell>
        </row>
        <row r="79">
          <cell r="B79" t="str">
            <v>Watchman's quarter</v>
          </cell>
        </row>
        <row r="80">
          <cell r="B80" t="str">
            <v>Others if any</v>
          </cell>
        </row>
        <row r="81">
          <cell r="B81" t="str">
            <v>Transmission Main (m)</v>
          </cell>
        </row>
        <row r="82">
          <cell r="B82" t="str">
            <v>Distribution Line (m)</v>
          </cell>
        </row>
        <row r="83">
          <cell r="B83" t="str">
            <v>Total Pipeline (m)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PSP2"/>
      <sheetName val="VIP1"/>
      <sheetName val="VIP2"/>
      <sheetName val="VIP3"/>
      <sheetName val="DP Lat"/>
      <sheetName val="RtAn"/>
      <sheetName val="MatCol"/>
      <sheetName val="D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63">
          <cell r="L63">
            <v>1</v>
          </cell>
          <cell r="M63">
            <v>1.5</v>
          </cell>
          <cell r="N63">
            <v>0.9</v>
          </cell>
          <cell r="O63">
            <v>0.3</v>
          </cell>
        </row>
        <row r="64">
          <cell r="L64">
            <v>2</v>
          </cell>
          <cell r="M64">
            <v>1.5</v>
          </cell>
          <cell r="N64">
            <v>1.4</v>
          </cell>
          <cell r="O64">
            <v>0.3</v>
          </cell>
        </row>
        <row r="65">
          <cell r="L65">
            <v>3</v>
          </cell>
          <cell r="M65">
            <v>2</v>
          </cell>
          <cell r="N65">
            <v>1.2</v>
          </cell>
          <cell r="O65">
            <v>0.4</v>
          </cell>
        </row>
        <row r="66">
          <cell r="L66">
            <v>4</v>
          </cell>
          <cell r="M66">
            <v>2</v>
          </cell>
          <cell r="N66">
            <v>1.5</v>
          </cell>
          <cell r="O66">
            <v>0.4</v>
          </cell>
        </row>
        <row r="67">
          <cell r="L67">
            <v>5</v>
          </cell>
          <cell r="M67">
            <v>2.5</v>
          </cell>
          <cell r="N67">
            <v>1.3</v>
          </cell>
          <cell r="O67">
            <v>0.4</v>
          </cell>
        </row>
        <row r="68">
          <cell r="L68">
            <v>6</v>
          </cell>
          <cell r="M68">
            <v>2.5</v>
          </cell>
          <cell r="N68">
            <v>1.5</v>
          </cell>
          <cell r="O68">
            <v>0.4</v>
          </cell>
        </row>
        <row r="69">
          <cell r="L69">
            <v>7</v>
          </cell>
          <cell r="M69">
            <v>2.5</v>
          </cell>
          <cell r="N69">
            <v>1.65</v>
          </cell>
          <cell r="O69">
            <v>0.4</v>
          </cell>
        </row>
        <row r="70">
          <cell r="L70">
            <v>8</v>
          </cell>
          <cell r="M70">
            <v>2.5</v>
          </cell>
          <cell r="N70">
            <v>1.85</v>
          </cell>
          <cell r="O70">
            <v>0.4</v>
          </cell>
        </row>
        <row r="71">
          <cell r="L71">
            <v>9</v>
          </cell>
          <cell r="M71">
            <v>3</v>
          </cell>
          <cell r="N71">
            <v>1.5</v>
          </cell>
          <cell r="O71">
            <v>0.5</v>
          </cell>
        </row>
        <row r="72">
          <cell r="L72">
            <v>10</v>
          </cell>
          <cell r="M72">
            <v>3</v>
          </cell>
          <cell r="N72">
            <v>1.65</v>
          </cell>
          <cell r="O72">
            <v>0.5</v>
          </cell>
        </row>
        <row r="73">
          <cell r="L73">
            <v>12</v>
          </cell>
          <cell r="M73">
            <v>3</v>
          </cell>
          <cell r="N73">
            <v>1.9</v>
          </cell>
          <cell r="O73">
            <v>0.5</v>
          </cell>
        </row>
        <row r="74">
          <cell r="L74">
            <v>14</v>
          </cell>
          <cell r="M74">
            <v>3.5</v>
          </cell>
          <cell r="N74">
            <v>1.7</v>
          </cell>
          <cell r="O74">
            <v>0.6</v>
          </cell>
        </row>
        <row r="75">
          <cell r="L75">
            <v>16</v>
          </cell>
          <cell r="M75">
            <v>3.5</v>
          </cell>
          <cell r="N75">
            <v>1.9</v>
          </cell>
          <cell r="O75">
            <v>0.6</v>
          </cell>
        </row>
        <row r="76">
          <cell r="L76">
            <v>18</v>
          </cell>
          <cell r="M76">
            <v>4</v>
          </cell>
          <cell r="N76">
            <v>1.65</v>
          </cell>
          <cell r="O76">
            <v>0.7</v>
          </cell>
        </row>
        <row r="77">
          <cell r="L77">
            <v>20</v>
          </cell>
          <cell r="M77">
            <v>4</v>
          </cell>
          <cell r="N77">
            <v>1.8</v>
          </cell>
          <cell r="O77">
            <v>0.7</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PSP2"/>
      <sheetName val="VIP1"/>
      <sheetName val="VIP2"/>
      <sheetName val="VIP3"/>
      <sheetName val="DP Lat"/>
      <sheetName val="RtAn"/>
      <sheetName val="MatCol"/>
      <sheetName val="D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63">
          <cell r="L63">
            <v>1</v>
          </cell>
          <cell r="M63">
            <v>1.5</v>
          </cell>
          <cell r="N63">
            <v>0.9</v>
          </cell>
          <cell r="O63">
            <v>0.3</v>
          </cell>
        </row>
        <row r="64">
          <cell r="L64">
            <v>2</v>
          </cell>
          <cell r="M64">
            <v>1.5</v>
          </cell>
          <cell r="N64">
            <v>1.4</v>
          </cell>
          <cell r="O64">
            <v>0.3</v>
          </cell>
        </row>
        <row r="65">
          <cell r="L65">
            <v>3</v>
          </cell>
          <cell r="M65">
            <v>2</v>
          </cell>
          <cell r="N65">
            <v>1.2</v>
          </cell>
          <cell r="O65">
            <v>0.4</v>
          </cell>
        </row>
        <row r="66">
          <cell r="L66">
            <v>4</v>
          </cell>
          <cell r="M66">
            <v>2</v>
          </cell>
          <cell r="N66">
            <v>1.5</v>
          </cell>
          <cell r="O66">
            <v>0.4</v>
          </cell>
        </row>
        <row r="67">
          <cell r="L67">
            <v>5</v>
          </cell>
          <cell r="M67">
            <v>2.5</v>
          </cell>
          <cell r="N67">
            <v>1.3</v>
          </cell>
          <cell r="O67">
            <v>0.4</v>
          </cell>
        </row>
        <row r="68">
          <cell r="L68">
            <v>6</v>
          </cell>
          <cell r="M68">
            <v>2.5</v>
          </cell>
          <cell r="N68">
            <v>1.5</v>
          </cell>
          <cell r="O68">
            <v>0.4</v>
          </cell>
        </row>
        <row r="69">
          <cell r="L69">
            <v>7</v>
          </cell>
          <cell r="M69">
            <v>2.5</v>
          </cell>
          <cell r="N69">
            <v>1.65</v>
          </cell>
          <cell r="O69">
            <v>0.4</v>
          </cell>
        </row>
        <row r="70">
          <cell r="L70">
            <v>8</v>
          </cell>
          <cell r="M70">
            <v>2.5</v>
          </cell>
          <cell r="N70">
            <v>1.85</v>
          </cell>
          <cell r="O70">
            <v>0.4</v>
          </cell>
        </row>
        <row r="71">
          <cell r="L71">
            <v>9</v>
          </cell>
          <cell r="M71">
            <v>3</v>
          </cell>
          <cell r="N71">
            <v>1.5</v>
          </cell>
          <cell r="O71">
            <v>0.5</v>
          </cell>
        </row>
        <row r="72">
          <cell r="L72">
            <v>10</v>
          </cell>
          <cell r="M72">
            <v>3</v>
          </cell>
          <cell r="N72">
            <v>1.65</v>
          </cell>
          <cell r="O72">
            <v>0.5</v>
          </cell>
        </row>
        <row r="73">
          <cell r="L73">
            <v>12</v>
          </cell>
          <cell r="M73">
            <v>3</v>
          </cell>
          <cell r="N73">
            <v>1.9</v>
          </cell>
          <cell r="O73">
            <v>0.5</v>
          </cell>
        </row>
        <row r="74">
          <cell r="L74">
            <v>14</v>
          </cell>
          <cell r="M74">
            <v>3.5</v>
          </cell>
          <cell r="N74">
            <v>1.7</v>
          </cell>
          <cell r="O74">
            <v>0.6</v>
          </cell>
        </row>
        <row r="75">
          <cell r="L75">
            <v>16</v>
          </cell>
          <cell r="M75">
            <v>3.5</v>
          </cell>
          <cell r="N75">
            <v>1.9</v>
          </cell>
          <cell r="O75">
            <v>0.6</v>
          </cell>
        </row>
        <row r="76">
          <cell r="L76">
            <v>18</v>
          </cell>
          <cell r="M76">
            <v>4</v>
          </cell>
          <cell r="N76">
            <v>1.65</v>
          </cell>
          <cell r="O76">
            <v>0.7</v>
          </cell>
        </row>
        <row r="77">
          <cell r="L77">
            <v>20</v>
          </cell>
          <cell r="M77">
            <v>4</v>
          </cell>
          <cell r="N77">
            <v>1.8</v>
          </cell>
          <cell r="O77">
            <v>0.7</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ain Abstract vinayak"/>
      <sheetName val="Estimate drain vinayak"/>
      <sheetName val="RevisedBOQ"/>
      <sheetName val="VC_Cost"/>
    </sheetNames>
    <sheetDataSet>
      <sheetData sheetId="0"/>
      <sheetData sheetId="1">
        <row r="14">
          <cell r="C14" t="str">
            <v xml:space="preserve">drain </v>
          </cell>
          <cell r="D14">
            <v>1</v>
          </cell>
          <cell r="E14">
            <v>100</v>
          </cell>
          <cell r="F14">
            <v>0.9</v>
          </cell>
          <cell r="G14">
            <v>0.47499999999999998</v>
          </cell>
          <cell r="H14">
            <v>42.75</v>
          </cell>
        </row>
        <row r="15">
          <cell r="B15">
            <v>1</v>
          </cell>
          <cell r="G15" t="str">
            <v>Total</v>
          </cell>
          <cell r="H15">
            <v>42.75</v>
          </cell>
          <cell r="I15" t="str">
            <v>m3</v>
          </cell>
        </row>
        <row r="18">
          <cell r="C18" t="str">
            <v>Stone soling work</v>
          </cell>
        </row>
        <row r="19">
          <cell r="C19" t="str">
            <v xml:space="preserve">drain </v>
          </cell>
          <cell r="D19">
            <v>1</v>
          </cell>
          <cell r="E19">
            <v>100</v>
          </cell>
          <cell r="F19">
            <v>0.9</v>
          </cell>
          <cell r="G19">
            <v>0.15</v>
          </cell>
          <cell r="H19">
            <v>13.5</v>
          </cell>
        </row>
        <row r="20">
          <cell r="B20">
            <v>3</v>
          </cell>
          <cell r="G20" t="str">
            <v>Total</v>
          </cell>
          <cell r="H20">
            <v>13.5</v>
          </cell>
          <cell r="I20" t="str">
            <v>m3</v>
          </cell>
        </row>
        <row r="22">
          <cell r="C22" t="str">
            <v>p.c.c. (1:2:4)</v>
          </cell>
        </row>
        <row r="23">
          <cell r="C23" t="str">
            <v xml:space="preserve">drain </v>
          </cell>
          <cell r="D23">
            <v>1</v>
          </cell>
          <cell r="E23">
            <v>100</v>
          </cell>
          <cell r="F23">
            <v>0.9</v>
          </cell>
          <cell r="G23">
            <v>7.4999999999999997E-2</v>
          </cell>
          <cell r="H23">
            <v>6.75</v>
          </cell>
        </row>
        <row r="24">
          <cell r="C24" t="str">
            <v>top of wall</v>
          </cell>
          <cell r="D24">
            <v>2</v>
          </cell>
          <cell r="E24">
            <v>100</v>
          </cell>
          <cell r="F24">
            <v>0.3</v>
          </cell>
          <cell r="G24">
            <v>0.05</v>
          </cell>
          <cell r="H24">
            <v>3</v>
          </cell>
        </row>
        <row r="25">
          <cell r="B25">
            <v>4</v>
          </cell>
          <cell r="G25" t="str">
            <v>Total</v>
          </cell>
          <cell r="H25">
            <v>9.75</v>
          </cell>
          <cell r="I25" t="str">
            <v>m3</v>
          </cell>
        </row>
        <row r="27">
          <cell r="C27" t="str">
            <v>Formwork</v>
          </cell>
        </row>
        <row r="28">
          <cell r="C28" t="str">
            <v xml:space="preserve"> vinayak path &amp; other link road (Type B)</v>
          </cell>
        </row>
        <row r="29">
          <cell r="C29" t="str">
            <v>top of wall</v>
          </cell>
          <cell r="D29">
            <v>4</v>
          </cell>
          <cell r="E29">
            <v>100</v>
          </cell>
          <cell r="G29">
            <v>0.05</v>
          </cell>
          <cell r="H29">
            <v>20</v>
          </cell>
        </row>
        <row r="30">
          <cell r="B30">
            <v>5</v>
          </cell>
          <cell r="G30" t="str">
            <v>Total</v>
          </cell>
          <cell r="H30">
            <v>20</v>
          </cell>
          <cell r="I30" t="str">
            <v>m2</v>
          </cell>
        </row>
        <row r="32">
          <cell r="C32" t="str">
            <v>Stone masonry work 1:4</v>
          </cell>
        </row>
        <row r="33">
          <cell r="C33" t="str">
            <v xml:space="preserve"> vinayak path &amp; other link road (Type B)</v>
          </cell>
        </row>
        <row r="34">
          <cell r="C34" t="str">
            <v>drain</v>
          </cell>
          <cell r="D34">
            <v>2</v>
          </cell>
          <cell r="E34">
            <v>100</v>
          </cell>
          <cell r="F34">
            <v>0.3</v>
          </cell>
          <cell r="G34">
            <v>0.2</v>
          </cell>
          <cell r="H34">
            <v>12</v>
          </cell>
        </row>
        <row r="35">
          <cell r="B35">
            <v>6</v>
          </cell>
          <cell r="G35" t="str">
            <v>Total</v>
          </cell>
          <cell r="H35">
            <v>12</v>
          </cell>
          <cell r="I35" t="str">
            <v>m3</v>
          </cell>
        </row>
        <row r="37">
          <cell r="C37" t="str">
            <v>20mm thick c/s 1:4 plaster</v>
          </cell>
        </row>
        <row r="38">
          <cell r="C38" t="str">
            <v xml:space="preserve"> vinayak path &amp; other link road (Type B)</v>
          </cell>
        </row>
        <row r="39">
          <cell r="C39" t="str">
            <v>wall</v>
          </cell>
          <cell r="D39">
            <v>2</v>
          </cell>
          <cell r="E39">
            <v>100</v>
          </cell>
          <cell r="G39">
            <v>0.25</v>
          </cell>
          <cell r="H39">
            <v>50</v>
          </cell>
        </row>
        <row r="40">
          <cell r="C40" t="str">
            <v>floor</v>
          </cell>
          <cell r="D40">
            <v>1</v>
          </cell>
          <cell r="E40">
            <v>100</v>
          </cell>
          <cell r="F40">
            <v>0.9</v>
          </cell>
          <cell r="H40">
            <v>90</v>
          </cell>
        </row>
        <row r="41">
          <cell r="B41">
            <v>7</v>
          </cell>
          <cell r="F41" t="str">
            <v>Net Total</v>
          </cell>
          <cell r="H41">
            <v>140</v>
          </cell>
          <cell r="I41" t="str">
            <v>m2</v>
          </cell>
        </row>
      </sheetData>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VIP1"/>
      <sheetName val="VIP2"/>
      <sheetName val="VIP3"/>
      <sheetName val="DP Lat"/>
      <sheetName val="RtAn"/>
      <sheetName val="MatCol"/>
      <sheetName val="D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B1">
            <v>13</v>
          </cell>
        </row>
      </sheetData>
      <sheetData sheetId="35"/>
      <sheetData sheetId="3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F"/>
      <sheetName val="Summary of cost"/>
      <sheetName val="PIPEDESIGN"/>
      <sheetName val="pump"/>
      <sheetName val="popn"/>
      <sheetName val="RVT SIZE"/>
      <sheetName val="d popn"/>
      <sheetName val="S data"/>
      <sheetName val="Pump house Qnty"/>
      <sheetName val="FRT Estimate 8 cum"/>
      <sheetName val="Tap Qnty Estimate"/>
      <sheetName val="Sump well Qty"/>
      <sheetName val="BARBED qty for sumpwell"/>
      <sheetName val="Fittings"/>
      <sheetName val="Large intake Q i"/>
      <sheetName val="BARBED qty for RVT"/>
      <sheetName val="Electrification"/>
      <sheetName val="Estimate &amp; cost of pump"/>
      <sheetName val="Intake cost"/>
      <sheetName val="Sump well cost"/>
      <sheetName val="rvt cost 8 cum"/>
      <sheetName val="barbed cost for sumpwell"/>
      <sheetName val="barbed cost for RVT"/>
      <sheetName val="HDP ,GI pipe &amp; fittings"/>
      <sheetName val="Pipe line laying &amp; joint cost"/>
      <sheetName val="TAPSTAND cost"/>
      <sheetName val="Pipe stand cost"/>
      <sheetName val="Pump house cost"/>
      <sheetName val="RA Detail"/>
      <sheetName val="RA Abs."/>
      <sheetName val=" district rate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 rate"/>
      <sheetName val="update Rate"/>
      <sheetName val="Update Descrip"/>
      <sheetName val="Table of Content"/>
      <sheetName val="Sheet2"/>
      <sheetName val="Guard h"/>
    </sheetNames>
    <sheetDataSet>
      <sheetData sheetId="0" refreshError="1"/>
      <sheetData sheetId="1">
        <row r="71">
          <cell r="E71">
            <v>820</v>
          </cell>
        </row>
        <row r="74">
          <cell r="E74">
            <v>490</v>
          </cell>
        </row>
      </sheetData>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ummary"/>
      <sheetName val="Trainings"/>
      <sheetName val="SprInt1"/>
      <sheetName val="SprInt2"/>
      <sheetName val="StrInt1"/>
      <sheetName val="StrInt2"/>
      <sheetName val="StrInt3"/>
      <sheetName val="Panera"/>
      <sheetName val="CCDCIC"/>
      <sheetName val="FER-SED"/>
      <sheetName val="SedTank"/>
      <sheetName val="SteelForm"/>
      <sheetName val="RCC VC"/>
      <sheetName val="Rcc DC,IC,BPC"/>
      <sheetName val="PBPC"/>
      <sheetName val="VCs"/>
      <sheetName val="RCCRT1"/>
      <sheetName val="Bar1"/>
      <sheetName val="Sheets"/>
      <sheetName val="FRT 1"/>
      <sheetName val="MRT1"/>
      <sheetName val="RMT100"/>
      <sheetName val="RMT150"/>
      <sheetName val="Fence"/>
      <sheetName val="Cabl-Des"/>
      <sheetName val="CabCros"/>
      <sheetName val="UnderCros"/>
      <sheetName val="Piprot"/>
      <sheetName val="Miscel"/>
      <sheetName val="PSP1"/>
      <sheetName val="VIP1"/>
      <sheetName val="VIP2"/>
      <sheetName val="VIP3"/>
      <sheetName val="DP Lat"/>
      <sheetName val="RtAn"/>
      <sheetName val="MatCol"/>
      <sheetName val="D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row r="8">
          <cell r="A8">
            <v>1.8</v>
          </cell>
          <cell r="B8" t="str">
            <v>Site clearance with removing 15-20cm top soil</v>
          </cell>
          <cell r="D8" t="str">
            <v>Coolies</v>
          </cell>
          <cell r="E8">
            <v>0.16</v>
          </cell>
          <cell r="F8">
            <v>120</v>
          </cell>
          <cell r="G8">
            <v>19.2</v>
          </cell>
          <cell r="I8" t="str">
            <v>3% of T&amp;P</v>
          </cell>
          <cell r="L8">
            <v>0.57999999999999996</v>
          </cell>
          <cell r="M8">
            <v>19.78</v>
          </cell>
          <cell r="N8">
            <v>2.97</v>
          </cell>
          <cell r="O8">
            <v>22.75</v>
          </cell>
        </row>
        <row r="9">
          <cell r="B9" t="str">
            <v>disposal beyond construction site  for  1sqm.</v>
          </cell>
        </row>
        <row r="11">
          <cell r="B11" t="str">
            <v>EW in excavation in foundation trench including</v>
          </cell>
        </row>
        <row r="12">
          <cell r="B12" t="str">
            <v>disposal upto 10 m.,  for 1cu.m.</v>
          </cell>
        </row>
        <row r="13">
          <cell r="A13">
            <v>2.9</v>
          </cell>
          <cell r="B13" t="str">
            <v>Soft soil</v>
          </cell>
          <cell r="D13" t="str">
            <v>Coolies</v>
          </cell>
          <cell r="E13">
            <v>1</v>
          </cell>
          <cell r="F13">
            <v>120</v>
          </cell>
          <cell r="G13">
            <v>120</v>
          </cell>
          <cell r="I13" t="str">
            <v>3% of T&amp;P</v>
          </cell>
          <cell r="L13">
            <v>3.6</v>
          </cell>
          <cell r="M13">
            <v>123.6</v>
          </cell>
          <cell r="N13">
            <v>18.54</v>
          </cell>
          <cell r="O13">
            <v>142.13999999999999</v>
          </cell>
        </row>
        <row r="15">
          <cell r="A15">
            <v>2.12</v>
          </cell>
          <cell r="B15" t="str">
            <v>Hard soil</v>
          </cell>
          <cell r="D15" t="str">
            <v>Coolies</v>
          </cell>
          <cell r="E15">
            <v>1.25</v>
          </cell>
          <cell r="F15">
            <v>120</v>
          </cell>
          <cell r="G15">
            <v>150</v>
          </cell>
          <cell r="I15" t="str">
            <v>3% of T&amp;P</v>
          </cell>
          <cell r="L15">
            <v>4.5</v>
          </cell>
          <cell r="M15">
            <v>154.5</v>
          </cell>
          <cell r="N15">
            <v>23.18</v>
          </cell>
          <cell r="O15">
            <v>177.68</v>
          </cell>
        </row>
        <row r="17">
          <cell r="A17">
            <v>2.14</v>
          </cell>
          <cell r="B17" t="str">
            <v>Gravel &amp; boulder mixed soil</v>
          </cell>
          <cell r="D17" t="str">
            <v>Coolies</v>
          </cell>
          <cell r="E17">
            <v>1.59</v>
          </cell>
          <cell r="F17">
            <v>120</v>
          </cell>
          <cell r="G17">
            <v>190.8</v>
          </cell>
          <cell r="I17" t="str">
            <v>3% of T&amp;P</v>
          </cell>
          <cell r="L17">
            <v>5.72</v>
          </cell>
          <cell r="M17">
            <v>196.52</v>
          </cell>
          <cell r="N17">
            <v>29.48</v>
          </cell>
          <cell r="O17">
            <v>226</v>
          </cell>
        </row>
        <row r="19">
          <cell r="B19" t="str">
            <v>Refilling of foundation trench in layers of 20cm</v>
          </cell>
        </row>
        <row r="20">
          <cell r="B20" t="str">
            <v>with compaction including lead 10m, for 1cum.</v>
          </cell>
        </row>
        <row r="21">
          <cell r="A21" t="str">
            <v>2.39a</v>
          </cell>
          <cell r="B21" t="str">
            <v>a) Soft soil</v>
          </cell>
          <cell r="D21" t="str">
            <v>Coolies</v>
          </cell>
          <cell r="E21">
            <v>0.5</v>
          </cell>
          <cell r="F21">
            <v>120</v>
          </cell>
          <cell r="G21">
            <v>60</v>
          </cell>
          <cell r="I21" t="str">
            <v>3% of T&amp;P</v>
          </cell>
          <cell r="L21">
            <v>1.8</v>
          </cell>
          <cell r="M21">
            <v>61.8</v>
          </cell>
          <cell r="N21">
            <v>9.27</v>
          </cell>
          <cell r="O21">
            <v>71.069999999999993</v>
          </cell>
        </row>
        <row r="23">
          <cell r="A23" t="str">
            <v>2.39c</v>
          </cell>
          <cell r="B23" t="str">
            <v>c) Hard soil</v>
          </cell>
          <cell r="D23" t="str">
            <v>Coolies</v>
          </cell>
          <cell r="E23">
            <v>0.63</v>
          </cell>
          <cell r="F23">
            <v>120</v>
          </cell>
          <cell r="G23">
            <v>75.599999999999994</v>
          </cell>
          <cell r="I23" t="str">
            <v>3% of T&amp;P</v>
          </cell>
          <cell r="L23">
            <v>2.27</v>
          </cell>
          <cell r="M23">
            <v>77.87</v>
          </cell>
          <cell r="N23">
            <v>11.68</v>
          </cell>
          <cell r="O23">
            <v>89.55</v>
          </cell>
        </row>
        <row r="25">
          <cell r="A25" t="str">
            <v>2.39d</v>
          </cell>
          <cell r="B25" t="str">
            <v>d) Gravel &amp; boulder mixed soil</v>
          </cell>
          <cell r="D25" t="str">
            <v>Coolies</v>
          </cell>
          <cell r="E25">
            <v>0.6</v>
          </cell>
          <cell r="F25">
            <v>120</v>
          </cell>
          <cell r="G25">
            <v>72</v>
          </cell>
          <cell r="I25" t="str">
            <v>3% of T&amp;P</v>
          </cell>
          <cell r="L25">
            <v>2.16</v>
          </cell>
          <cell r="M25">
            <v>74.16</v>
          </cell>
          <cell r="N25">
            <v>11.12</v>
          </cell>
          <cell r="O25">
            <v>85.28</v>
          </cell>
        </row>
        <row r="27">
          <cell r="A27" t="str">
            <v>2.42</v>
          </cell>
          <cell r="B27" t="str">
            <v>Sand filling with water sprinkling for 1 cu.m.</v>
          </cell>
          <cell r="D27" t="str">
            <v>Coolies</v>
          </cell>
          <cell r="E27">
            <v>0.7</v>
          </cell>
          <cell r="F27">
            <v>120</v>
          </cell>
          <cell r="G27">
            <v>84</v>
          </cell>
          <cell r="H27" t="str">
            <v>sand</v>
          </cell>
          <cell r="I27">
            <v>1.1000000000000001</v>
          </cell>
          <cell r="J27" t="str">
            <v>cu.m.</v>
          </cell>
          <cell r="K27">
            <v>2703.6</v>
          </cell>
          <cell r="L27">
            <v>2973.96</v>
          </cell>
          <cell r="M27">
            <v>3057.96</v>
          </cell>
          <cell r="N27">
            <v>458.69</v>
          </cell>
          <cell r="O27">
            <v>3516.65</v>
          </cell>
        </row>
        <row r="29">
          <cell r="A29" t="str">
            <v>gravel</v>
          </cell>
          <cell r="B29" t="str">
            <v>Gravel packing for 1 cu.m.</v>
          </cell>
          <cell r="D29" t="str">
            <v>Coolies</v>
          </cell>
          <cell r="E29">
            <v>0.7</v>
          </cell>
          <cell r="F29">
            <v>120</v>
          </cell>
          <cell r="G29">
            <v>84</v>
          </cell>
          <cell r="H29" t="str">
            <v>gravel</v>
          </cell>
          <cell r="I29">
            <v>1.1000000000000001</v>
          </cell>
          <cell r="J29" t="str">
            <v>cu.m.</v>
          </cell>
          <cell r="K29">
            <v>1160</v>
          </cell>
          <cell r="L29">
            <v>1276</v>
          </cell>
          <cell r="M29">
            <v>1360</v>
          </cell>
          <cell r="N29">
            <v>204</v>
          </cell>
          <cell r="O29">
            <v>1564</v>
          </cell>
        </row>
        <row r="31">
          <cell r="B31" t="str">
            <v>Random rubble masonry work for 1 cu.m.</v>
          </cell>
        </row>
        <row r="32">
          <cell r="B32" t="str">
            <v>including 30m haulage, and 5 m height</v>
          </cell>
        </row>
        <row r="33">
          <cell r="A33" t="str">
            <v>6.1a</v>
          </cell>
          <cell r="B33" t="str">
            <v>(1:3) cement sand mortar</v>
          </cell>
          <cell r="D33" t="str">
            <v>Mason</v>
          </cell>
          <cell r="E33">
            <v>1.5</v>
          </cell>
          <cell r="F33">
            <v>195</v>
          </cell>
          <cell r="G33">
            <v>292.5</v>
          </cell>
          <cell r="H33" t="str">
            <v>Blockstone</v>
          </cell>
          <cell r="I33">
            <v>1</v>
          </cell>
          <cell r="J33" t="str">
            <v>cu.m.</v>
          </cell>
          <cell r="K33">
            <v>608</v>
          </cell>
          <cell r="L33">
            <v>608</v>
          </cell>
          <cell r="M33">
            <v>3834.74</v>
          </cell>
          <cell r="N33">
            <v>575.21</v>
          </cell>
          <cell r="O33">
            <v>4409.95</v>
          </cell>
        </row>
        <row r="34">
          <cell r="D34" t="str">
            <v>Coolies</v>
          </cell>
          <cell r="E34">
            <v>4.2</v>
          </cell>
          <cell r="F34">
            <v>120</v>
          </cell>
          <cell r="G34">
            <v>504</v>
          </cell>
          <cell r="H34" t="str">
            <v>Bondstone</v>
          </cell>
          <cell r="I34">
            <v>0.1</v>
          </cell>
          <cell r="J34" t="str">
            <v>cu.m.</v>
          </cell>
          <cell r="K34">
            <v>1595.6</v>
          </cell>
          <cell r="L34">
            <v>159.56</v>
          </cell>
        </row>
        <row r="35">
          <cell r="H35" t="str">
            <v>cement(NEPALI)</v>
          </cell>
          <cell r="I35">
            <v>0.19400000000000001</v>
          </cell>
          <cell r="J35" t="str">
            <v>mt</v>
          </cell>
          <cell r="K35">
            <v>8100</v>
          </cell>
          <cell r="L35">
            <v>1571.4</v>
          </cell>
        </row>
        <row r="36">
          <cell r="H36" t="str">
            <v>sand</v>
          </cell>
          <cell r="I36">
            <v>0.42</v>
          </cell>
          <cell r="J36" t="str">
            <v>cu.m.</v>
          </cell>
          <cell r="K36">
            <v>1664.95</v>
          </cell>
          <cell r="L36">
            <v>699.28</v>
          </cell>
        </row>
        <row r="38">
          <cell r="A38" t="str">
            <v>6.1b</v>
          </cell>
          <cell r="B38" t="str">
            <v>(1:4) cement sand mortar</v>
          </cell>
          <cell r="D38" t="str">
            <v>Mason</v>
          </cell>
          <cell r="E38">
            <v>1.5</v>
          </cell>
          <cell r="F38">
            <v>195</v>
          </cell>
          <cell r="G38">
            <v>292.5</v>
          </cell>
          <cell r="H38" t="str">
            <v>Blockstone</v>
          </cell>
          <cell r="I38">
            <v>1</v>
          </cell>
          <cell r="J38" t="str">
            <v>cu.m.</v>
          </cell>
          <cell r="K38">
            <v>608</v>
          </cell>
          <cell r="L38">
            <v>608</v>
          </cell>
          <cell r="M38">
            <v>3601.19</v>
          </cell>
          <cell r="N38">
            <v>540.17999999999995</v>
          </cell>
          <cell r="O38">
            <v>4141.37</v>
          </cell>
        </row>
        <row r="39">
          <cell r="D39" t="str">
            <v>Coolies</v>
          </cell>
          <cell r="E39">
            <v>4.2</v>
          </cell>
          <cell r="F39">
            <v>120</v>
          </cell>
          <cell r="G39">
            <v>504</v>
          </cell>
          <cell r="H39" t="str">
            <v>Bondstone</v>
          </cell>
          <cell r="I39">
            <v>0.1</v>
          </cell>
          <cell r="J39" t="str">
            <v>cu.m.</v>
          </cell>
          <cell r="K39">
            <v>1595.6</v>
          </cell>
          <cell r="L39">
            <v>159.56</v>
          </cell>
        </row>
        <row r="40">
          <cell r="H40" t="str">
            <v>cement</v>
          </cell>
          <cell r="I40">
            <v>0.159</v>
          </cell>
          <cell r="J40" t="str">
            <v>mt</v>
          </cell>
          <cell r="K40">
            <v>8100</v>
          </cell>
          <cell r="L40">
            <v>1287.9000000000001</v>
          </cell>
        </row>
        <row r="41">
          <cell r="H41" t="str">
            <v>sand</v>
          </cell>
          <cell r="I41">
            <v>0.45</v>
          </cell>
          <cell r="J41" t="str">
            <v>cu.m.</v>
          </cell>
          <cell r="K41">
            <v>1664.95</v>
          </cell>
          <cell r="L41">
            <v>749.23</v>
          </cell>
        </row>
        <row r="43">
          <cell r="A43" t="str">
            <v>6.1c</v>
          </cell>
          <cell r="B43" t="str">
            <v>(1:6) cement sand mortar</v>
          </cell>
          <cell r="D43" t="str">
            <v>Mason</v>
          </cell>
          <cell r="E43">
            <v>1.5</v>
          </cell>
          <cell r="F43">
            <v>195</v>
          </cell>
          <cell r="G43">
            <v>292.5</v>
          </cell>
          <cell r="H43" t="str">
            <v>Blockstone</v>
          </cell>
          <cell r="I43">
            <v>1</v>
          </cell>
          <cell r="J43" t="str">
            <v>cu.m.</v>
          </cell>
          <cell r="K43">
            <v>608</v>
          </cell>
          <cell r="L43">
            <v>608</v>
          </cell>
          <cell r="M43">
            <v>3205.19</v>
          </cell>
          <cell r="N43">
            <v>480.78</v>
          </cell>
          <cell r="O43">
            <v>3685.97</v>
          </cell>
        </row>
        <row r="44">
          <cell r="D44" t="str">
            <v>Coolies</v>
          </cell>
          <cell r="E44">
            <v>4.2</v>
          </cell>
          <cell r="F44">
            <v>120</v>
          </cell>
          <cell r="G44">
            <v>504</v>
          </cell>
          <cell r="H44" t="str">
            <v>Bondstone</v>
          </cell>
          <cell r="I44">
            <v>0.1</v>
          </cell>
          <cell r="J44" t="str">
            <v>cu.m.</v>
          </cell>
          <cell r="K44">
            <v>1595.6</v>
          </cell>
          <cell r="L44">
            <v>159.56</v>
          </cell>
        </row>
        <row r="45">
          <cell r="H45" t="str">
            <v>cement</v>
          </cell>
          <cell r="I45">
            <v>0.106</v>
          </cell>
          <cell r="J45" t="str">
            <v>mt</v>
          </cell>
          <cell r="K45">
            <v>8100</v>
          </cell>
          <cell r="L45">
            <v>858.6</v>
          </cell>
        </row>
        <row r="46">
          <cell r="H46" t="str">
            <v>sand</v>
          </cell>
          <cell r="I46">
            <v>0.47</v>
          </cell>
          <cell r="J46" t="str">
            <v>cu.m.</v>
          </cell>
          <cell r="K46">
            <v>1664.95</v>
          </cell>
          <cell r="L46">
            <v>782.53</v>
          </cell>
        </row>
        <row r="48">
          <cell r="A48" t="str">
            <v>6.2a</v>
          </cell>
          <cell r="B48" t="str">
            <v>a</v>
          </cell>
          <cell r="C48" t="str">
            <v>dry masonry</v>
          </cell>
          <cell r="D48" t="str">
            <v>Mason</v>
          </cell>
          <cell r="E48">
            <v>1</v>
          </cell>
          <cell r="F48">
            <v>195</v>
          </cell>
          <cell r="G48">
            <v>195</v>
          </cell>
          <cell r="H48" t="str">
            <v>Blockstone</v>
          </cell>
          <cell r="I48">
            <v>1</v>
          </cell>
          <cell r="J48" t="str">
            <v>cu.m.</v>
          </cell>
          <cell r="K48">
            <v>608</v>
          </cell>
          <cell r="L48">
            <v>608</v>
          </cell>
          <cell r="M48">
            <v>1202.56</v>
          </cell>
          <cell r="N48">
            <v>180.38</v>
          </cell>
          <cell r="O48">
            <v>1382.94</v>
          </cell>
        </row>
        <row r="49">
          <cell r="D49" t="str">
            <v>Coolies</v>
          </cell>
          <cell r="E49">
            <v>2</v>
          </cell>
          <cell r="F49">
            <v>120</v>
          </cell>
          <cell r="G49">
            <v>240</v>
          </cell>
          <cell r="H49" t="str">
            <v>Bondstone</v>
          </cell>
          <cell r="I49">
            <v>0.1</v>
          </cell>
          <cell r="J49" t="str">
            <v>cu.m.</v>
          </cell>
          <cell r="K49">
            <v>1595.6</v>
          </cell>
          <cell r="L49">
            <v>159.56</v>
          </cell>
        </row>
        <row r="51">
          <cell r="A51" t="str">
            <v>6.2b</v>
          </cell>
          <cell r="B51" t="str">
            <v>b</v>
          </cell>
          <cell r="C51" t="str">
            <v>mud mortar masonry</v>
          </cell>
          <cell r="D51" t="str">
            <v>Mason</v>
          </cell>
          <cell r="E51">
            <v>1</v>
          </cell>
          <cell r="F51">
            <v>195</v>
          </cell>
          <cell r="G51">
            <v>195</v>
          </cell>
          <cell r="H51" t="str">
            <v>Blockstone</v>
          </cell>
          <cell r="I51">
            <v>1</v>
          </cell>
          <cell r="J51" t="str">
            <v>cu.m.</v>
          </cell>
          <cell r="K51">
            <v>608</v>
          </cell>
          <cell r="L51">
            <v>608</v>
          </cell>
          <cell r="M51">
            <v>1232.56</v>
          </cell>
          <cell r="N51">
            <v>184.88</v>
          </cell>
          <cell r="O51">
            <v>1417.44</v>
          </cell>
        </row>
        <row r="52">
          <cell r="D52" t="str">
            <v>Coolies</v>
          </cell>
          <cell r="E52">
            <v>2.25</v>
          </cell>
          <cell r="F52">
            <v>120</v>
          </cell>
          <cell r="G52">
            <v>270</v>
          </cell>
          <cell r="H52" t="str">
            <v>Bondstone</v>
          </cell>
          <cell r="I52">
            <v>0.1</v>
          </cell>
          <cell r="J52" t="str">
            <v>cu.m.</v>
          </cell>
          <cell r="K52">
            <v>1595.6</v>
          </cell>
          <cell r="L52">
            <v>159.56</v>
          </cell>
        </row>
        <row r="54">
          <cell r="B54" t="str">
            <v>Boulder soling per 1 cu.m.</v>
          </cell>
        </row>
        <row r="55">
          <cell r="A55" t="str">
            <v>6.5a</v>
          </cell>
          <cell r="B55" t="str">
            <v>a) With sand packing</v>
          </cell>
          <cell r="D55" t="str">
            <v>Mason</v>
          </cell>
          <cell r="E55">
            <v>1</v>
          </cell>
          <cell r="F55">
            <v>195</v>
          </cell>
          <cell r="G55">
            <v>195</v>
          </cell>
          <cell r="H55" t="str">
            <v>Blockstone</v>
          </cell>
          <cell r="I55">
            <v>1.1000000000000001</v>
          </cell>
          <cell r="J55" t="str">
            <v>cu.m.</v>
          </cell>
          <cell r="K55">
            <v>608</v>
          </cell>
          <cell r="L55">
            <v>668.8</v>
          </cell>
          <cell r="M55">
            <v>3420.15</v>
          </cell>
          <cell r="N55">
            <v>513.02</v>
          </cell>
          <cell r="O55">
            <v>3933.17</v>
          </cell>
        </row>
        <row r="56">
          <cell r="D56" t="str">
            <v>Coolies</v>
          </cell>
          <cell r="E56">
            <v>3.5</v>
          </cell>
          <cell r="F56">
            <v>120</v>
          </cell>
          <cell r="G56">
            <v>420</v>
          </cell>
          <cell r="H56" t="str">
            <v>sand</v>
          </cell>
          <cell r="I56">
            <v>0.71</v>
          </cell>
          <cell r="J56" t="str">
            <v>cu.m.</v>
          </cell>
          <cell r="K56">
            <v>3008.95</v>
          </cell>
          <cell r="L56">
            <v>2136.35</v>
          </cell>
        </row>
        <row r="58">
          <cell r="A58" t="str">
            <v>6.5b</v>
          </cell>
          <cell r="B58" t="str">
            <v>b) without sand packing</v>
          </cell>
          <cell r="D58" t="str">
            <v>Mason</v>
          </cell>
          <cell r="E58">
            <v>1</v>
          </cell>
          <cell r="F58">
            <v>195</v>
          </cell>
          <cell r="G58">
            <v>195</v>
          </cell>
          <cell r="H58" t="str">
            <v>Blockstone</v>
          </cell>
          <cell r="I58">
            <v>1.1000000000000001</v>
          </cell>
          <cell r="J58" t="str">
            <v>cu.m.</v>
          </cell>
          <cell r="K58">
            <v>608</v>
          </cell>
          <cell r="L58">
            <v>668.8</v>
          </cell>
          <cell r="M58">
            <v>1283.8</v>
          </cell>
          <cell r="N58">
            <v>192.57</v>
          </cell>
          <cell r="O58">
            <v>1476.37</v>
          </cell>
        </row>
        <row r="59">
          <cell r="D59" t="str">
            <v>Coolies</v>
          </cell>
          <cell r="E59">
            <v>3.5</v>
          </cell>
          <cell r="F59">
            <v>120</v>
          </cell>
          <cell r="G59">
            <v>420</v>
          </cell>
        </row>
        <row r="61">
          <cell r="A61">
            <v>6.4</v>
          </cell>
          <cell r="B61" t="str">
            <v>Stone fillng in foundation  for  1 cu.m.</v>
          </cell>
          <cell r="D61" t="str">
            <v>Coolies</v>
          </cell>
          <cell r="E61">
            <v>1.5</v>
          </cell>
          <cell r="F61">
            <v>120</v>
          </cell>
          <cell r="G61">
            <v>180</v>
          </cell>
          <cell r="H61" t="str">
            <v>Blockstone</v>
          </cell>
          <cell r="I61">
            <v>1.1000000000000001</v>
          </cell>
          <cell r="J61" t="str">
            <v>cu.m.</v>
          </cell>
          <cell r="K61">
            <v>608</v>
          </cell>
          <cell r="L61">
            <v>668.8</v>
          </cell>
          <cell r="M61">
            <v>848.8</v>
          </cell>
          <cell r="N61">
            <v>127.32</v>
          </cell>
          <cell r="O61">
            <v>976.12</v>
          </cell>
        </row>
        <row r="63">
          <cell r="B63" t="str">
            <v>PCC for sub-structure concreting,  for 1 cum.</v>
          </cell>
        </row>
        <row r="64">
          <cell r="A64" t="str">
            <v>7.2c</v>
          </cell>
          <cell r="B64" t="str">
            <v>(a) P.C.C. (1:3:6)</v>
          </cell>
          <cell r="D64" t="str">
            <v>Mason</v>
          </cell>
          <cell r="E64">
            <v>1</v>
          </cell>
          <cell r="F64">
            <v>195</v>
          </cell>
          <cell r="G64">
            <v>195</v>
          </cell>
          <cell r="H64" t="str">
            <v>40mm agg</v>
          </cell>
          <cell r="I64">
            <v>0.65</v>
          </cell>
          <cell r="J64" t="str">
            <v>cu.m.</v>
          </cell>
          <cell r="K64">
            <v>1400</v>
          </cell>
          <cell r="L64">
            <v>910</v>
          </cell>
          <cell r="M64">
            <v>5364.81</v>
          </cell>
          <cell r="N64">
            <v>804.72</v>
          </cell>
          <cell r="O64">
            <v>6169.53</v>
          </cell>
        </row>
        <row r="65">
          <cell r="D65" t="str">
            <v>Coolies</v>
          </cell>
          <cell r="E65">
            <v>4</v>
          </cell>
          <cell r="F65">
            <v>120</v>
          </cell>
          <cell r="G65">
            <v>480</v>
          </cell>
          <cell r="H65" t="str">
            <v>20mm agg</v>
          </cell>
          <cell r="I65">
            <v>0.24</v>
          </cell>
          <cell r="J65" t="str">
            <v>cu.m.</v>
          </cell>
          <cell r="K65">
            <v>2120</v>
          </cell>
          <cell r="L65">
            <v>508.8</v>
          </cell>
        </row>
        <row r="66">
          <cell r="H66" t="str">
            <v>cement</v>
          </cell>
          <cell r="I66">
            <v>0.22</v>
          </cell>
          <cell r="J66" t="str">
            <v>mt</v>
          </cell>
          <cell r="K66">
            <v>8440</v>
          </cell>
          <cell r="L66">
            <v>1856.8</v>
          </cell>
        </row>
        <row r="67">
          <cell r="H67" t="str">
            <v>coarsesand</v>
          </cell>
          <cell r="I67">
            <v>0.47</v>
          </cell>
          <cell r="J67" t="str">
            <v>cu.m.</v>
          </cell>
          <cell r="K67">
            <v>3008.95</v>
          </cell>
          <cell r="L67">
            <v>1414.21</v>
          </cell>
        </row>
        <row r="69">
          <cell r="A69" t="str">
            <v>7.2d</v>
          </cell>
          <cell r="B69" t="str">
            <v>(b)  PCC (1:2:4)</v>
          </cell>
          <cell r="D69" t="str">
            <v>Mason</v>
          </cell>
          <cell r="E69">
            <v>1</v>
          </cell>
          <cell r="F69">
            <v>195</v>
          </cell>
          <cell r="G69">
            <v>195</v>
          </cell>
          <cell r="H69" t="str">
            <v>40mm agg</v>
          </cell>
          <cell r="I69">
            <v>0.52</v>
          </cell>
          <cell r="J69" t="str">
            <v>cu.m.</v>
          </cell>
          <cell r="K69">
            <v>1400</v>
          </cell>
          <cell r="L69">
            <v>728</v>
          </cell>
          <cell r="M69">
            <v>6228.18</v>
          </cell>
          <cell r="N69">
            <v>934.23</v>
          </cell>
          <cell r="O69">
            <v>7162.41</v>
          </cell>
        </row>
        <row r="70">
          <cell r="D70" t="str">
            <v>Coolies</v>
          </cell>
          <cell r="E70">
            <v>4</v>
          </cell>
          <cell r="F70">
            <v>120</v>
          </cell>
          <cell r="G70">
            <v>480</v>
          </cell>
          <cell r="H70" t="str">
            <v>20mm agg</v>
          </cell>
          <cell r="I70">
            <v>0.22</v>
          </cell>
          <cell r="J70" t="str">
            <v>cu.m.</v>
          </cell>
          <cell r="K70">
            <v>2120</v>
          </cell>
          <cell r="L70">
            <v>466.4</v>
          </cell>
        </row>
        <row r="71">
          <cell r="H71" t="str">
            <v>10mm agg</v>
          </cell>
          <cell r="I71">
            <v>0.11</v>
          </cell>
          <cell r="J71" t="str">
            <v>cu.m.</v>
          </cell>
          <cell r="K71">
            <v>2900</v>
          </cell>
          <cell r="L71">
            <v>319</v>
          </cell>
        </row>
        <row r="72">
          <cell r="H72" t="str">
            <v>cement</v>
          </cell>
          <cell r="I72">
            <v>0.32</v>
          </cell>
          <cell r="J72" t="str">
            <v>mt</v>
          </cell>
          <cell r="K72">
            <v>8440</v>
          </cell>
          <cell r="L72">
            <v>2700.8</v>
          </cell>
        </row>
        <row r="73">
          <cell r="H73" t="str">
            <v>coarsesand</v>
          </cell>
          <cell r="I73">
            <v>0.44500000000000001</v>
          </cell>
          <cell r="J73" t="str">
            <v>cu.m.</v>
          </cell>
          <cell r="K73">
            <v>3008.95</v>
          </cell>
          <cell r="L73">
            <v>1338.98</v>
          </cell>
        </row>
        <row r="75">
          <cell r="B75" t="str">
            <v>PCC for RCC in superstructure,  for 1 cum.</v>
          </cell>
        </row>
        <row r="76">
          <cell r="A76" t="str">
            <v>7.4a</v>
          </cell>
          <cell r="B76" t="str">
            <v>(a)  PCC (1:2:4)</v>
          </cell>
          <cell r="D76" t="str">
            <v>Mason</v>
          </cell>
          <cell r="E76">
            <v>0.8</v>
          </cell>
          <cell r="F76">
            <v>195</v>
          </cell>
          <cell r="G76">
            <v>156</v>
          </cell>
          <cell r="H76" t="str">
            <v>40mm agg</v>
          </cell>
          <cell r="I76">
            <v>0.52</v>
          </cell>
          <cell r="J76" t="str">
            <v>cu.m.</v>
          </cell>
          <cell r="K76">
            <v>1400</v>
          </cell>
          <cell r="L76">
            <v>728</v>
          </cell>
          <cell r="M76">
            <v>6549.18</v>
          </cell>
          <cell r="N76">
            <v>982.38</v>
          </cell>
          <cell r="O76">
            <v>7531.56</v>
          </cell>
        </row>
        <row r="77">
          <cell r="D77" t="str">
            <v>Coolies</v>
          </cell>
          <cell r="E77">
            <v>7</v>
          </cell>
          <cell r="F77">
            <v>120</v>
          </cell>
          <cell r="G77">
            <v>840</v>
          </cell>
          <cell r="H77" t="str">
            <v>20mm agg</v>
          </cell>
          <cell r="I77">
            <v>0.22</v>
          </cell>
          <cell r="J77" t="str">
            <v>cu.m.</v>
          </cell>
          <cell r="K77">
            <v>2120</v>
          </cell>
          <cell r="L77">
            <v>466.4</v>
          </cell>
        </row>
        <row r="78">
          <cell r="H78" t="str">
            <v>10mm agg</v>
          </cell>
          <cell r="I78">
            <v>0.11</v>
          </cell>
          <cell r="J78" t="str">
            <v>cu.m.</v>
          </cell>
          <cell r="K78">
            <v>2900</v>
          </cell>
          <cell r="L78">
            <v>319</v>
          </cell>
        </row>
        <row r="79">
          <cell r="H79" t="str">
            <v>cement</v>
          </cell>
          <cell r="I79">
            <v>0.32</v>
          </cell>
          <cell r="J79" t="str">
            <v>mt</v>
          </cell>
          <cell r="K79">
            <v>8440</v>
          </cell>
          <cell r="L79">
            <v>2700.8</v>
          </cell>
        </row>
        <row r="80">
          <cell r="H80" t="str">
            <v>coarsesand</v>
          </cell>
          <cell r="I80">
            <v>0.44500000000000001</v>
          </cell>
          <cell r="J80" t="str">
            <v>cu.m.</v>
          </cell>
          <cell r="K80">
            <v>3008.95</v>
          </cell>
          <cell r="L80">
            <v>1338.98</v>
          </cell>
        </row>
        <row r="82">
          <cell r="A82" t="str">
            <v>7.4b1</v>
          </cell>
          <cell r="B82" t="str">
            <v>(b) P.C.C. (1:1.5:3)</v>
          </cell>
          <cell r="D82" t="str">
            <v>Mason</v>
          </cell>
          <cell r="E82">
            <v>0.8</v>
          </cell>
          <cell r="F82">
            <v>195</v>
          </cell>
          <cell r="G82">
            <v>156</v>
          </cell>
          <cell r="H82" t="str">
            <v>20mm agg</v>
          </cell>
          <cell r="I82">
            <v>0.56999999999999995</v>
          </cell>
          <cell r="J82" t="str">
            <v>cu.m.</v>
          </cell>
          <cell r="K82">
            <v>2120</v>
          </cell>
          <cell r="L82">
            <v>1208.4000000000001</v>
          </cell>
          <cell r="M82">
            <v>7700.2</v>
          </cell>
          <cell r="N82">
            <v>1155.03</v>
          </cell>
          <cell r="O82">
            <v>8855.23</v>
          </cell>
        </row>
        <row r="83">
          <cell r="D83" t="str">
            <v>Coolies</v>
          </cell>
          <cell r="E83">
            <v>7</v>
          </cell>
          <cell r="F83">
            <v>120</v>
          </cell>
          <cell r="G83">
            <v>840</v>
          </cell>
          <cell r="H83" t="str">
            <v>10mm agg</v>
          </cell>
          <cell r="I83">
            <v>0.28999999999999998</v>
          </cell>
          <cell r="J83" t="str">
            <v>cu.m.</v>
          </cell>
          <cell r="K83">
            <v>2900</v>
          </cell>
          <cell r="L83">
            <v>841</v>
          </cell>
        </row>
        <row r="84">
          <cell r="H84" t="str">
            <v>cement</v>
          </cell>
          <cell r="I84">
            <v>0.4</v>
          </cell>
          <cell r="J84" t="str">
            <v>mt</v>
          </cell>
          <cell r="K84">
            <v>8440</v>
          </cell>
          <cell r="L84">
            <v>3376</v>
          </cell>
        </row>
        <row r="85">
          <cell r="H85" t="str">
            <v>coarsesand</v>
          </cell>
          <cell r="I85">
            <v>0.42499999999999999</v>
          </cell>
          <cell r="J85" t="str">
            <v>cu.m.</v>
          </cell>
          <cell r="K85">
            <v>3008.95</v>
          </cell>
          <cell r="L85">
            <v>1278.8</v>
          </cell>
        </row>
        <row r="87">
          <cell r="A87" t="str">
            <v>7.4b2</v>
          </cell>
          <cell r="B87" t="str">
            <v>(b) P.C.C. (1:1.5:3) with 2% WPC</v>
          </cell>
          <cell r="D87" t="str">
            <v>Mason</v>
          </cell>
          <cell r="E87">
            <v>0.8</v>
          </cell>
          <cell r="F87">
            <v>195</v>
          </cell>
          <cell r="G87">
            <v>156</v>
          </cell>
          <cell r="H87" t="str">
            <v>20mm agg</v>
          </cell>
          <cell r="I87">
            <v>0.56999999999999995</v>
          </cell>
          <cell r="J87" t="str">
            <v>cu.m.</v>
          </cell>
          <cell r="K87">
            <v>2120</v>
          </cell>
          <cell r="L87">
            <v>1208.4000000000001</v>
          </cell>
          <cell r="M87">
            <v>8100.2</v>
          </cell>
          <cell r="N87">
            <v>1215.03</v>
          </cell>
          <cell r="O87">
            <v>9315.23</v>
          </cell>
        </row>
        <row r="88">
          <cell r="D88" t="str">
            <v>Coolies</v>
          </cell>
          <cell r="E88">
            <v>7</v>
          </cell>
          <cell r="F88">
            <v>120</v>
          </cell>
          <cell r="G88">
            <v>840</v>
          </cell>
          <cell r="H88" t="str">
            <v>10mm agg</v>
          </cell>
          <cell r="I88">
            <v>0.28999999999999998</v>
          </cell>
          <cell r="J88" t="str">
            <v>cu.m.</v>
          </cell>
          <cell r="K88">
            <v>2900</v>
          </cell>
          <cell r="L88">
            <v>841</v>
          </cell>
        </row>
        <row r="89">
          <cell r="H89" t="str">
            <v>cement</v>
          </cell>
          <cell r="I89">
            <v>0.4</v>
          </cell>
          <cell r="J89" t="str">
            <v>mt</v>
          </cell>
          <cell r="K89">
            <v>8440</v>
          </cell>
          <cell r="L89">
            <v>3376</v>
          </cell>
        </row>
        <row r="90">
          <cell r="H90" t="str">
            <v>coarsesand</v>
          </cell>
          <cell r="I90">
            <v>0.42499999999999999</v>
          </cell>
          <cell r="J90" t="str">
            <v>cu.m.</v>
          </cell>
          <cell r="K90">
            <v>3008.95</v>
          </cell>
          <cell r="L90">
            <v>1278.8</v>
          </cell>
        </row>
        <row r="91">
          <cell r="H91" t="str">
            <v>WPC</v>
          </cell>
          <cell r="I91">
            <v>8</v>
          </cell>
          <cell r="J91" t="str">
            <v>kg</v>
          </cell>
          <cell r="K91">
            <v>50</v>
          </cell>
          <cell r="L91">
            <v>400</v>
          </cell>
        </row>
        <row r="93">
          <cell r="A93">
            <v>7.5</v>
          </cell>
          <cell r="B93" t="str">
            <v>Mild steel reinforcement works for RCC,</v>
          </cell>
          <cell r="D93" t="str">
            <v>Mason</v>
          </cell>
          <cell r="E93">
            <v>1.2E-2</v>
          </cell>
          <cell r="F93">
            <v>195</v>
          </cell>
          <cell r="G93">
            <v>2.34</v>
          </cell>
          <cell r="H93" t="str">
            <v>M.S. Bar</v>
          </cell>
          <cell r="I93">
            <v>1.0499999999999999E-3</v>
          </cell>
          <cell r="J93" t="str">
            <v>M.T.</v>
          </cell>
          <cell r="K93">
            <v>45680</v>
          </cell>
          <cell r="L93">
            <v>47.96</v>
          </cell>
          <cell r="M93">
            <v>52.36</v>
          </cell>
          <cell r="N93">
            <v>7.85</v>
          </cell>
          <cell r="O93">
            <v>60.21</v>
          </cell>
        </row>
        <row r="94">
          <cell r="B94" t="str">
            <v>including bending and 30m haulage, for 1 Kg</v>
          </cell>
          <cell r="D94" t="str">
            <v>Helper</v>
          </cell>
          <cell r="E94">
            <v>1.2E-2</v>
          </cell>
          <cell r="F94">
            <v>120</v>
          </cell>
          <cell r="G94">
            <v>1.44</v>
          </cell>
          <cell r="H94" t="str">
            <v>Binding wire</v>
          </cell>
          <cell r="I94">
            <v>0.01</v>
          </cell>
          <cell r="J94" t="str">
            <v>kg</v>
          </cell>
          <cell r="K94">
            <v>61.9</v>
          </cell>
          <cell r="L94">
            <v>0.62</v>
          </cell>
        </row>
        <row r="96">
          <cell r="A96" t="str">
            <v>8.2a</v>
          </cell>
          <cell r="B96" t="str">
            <v xml:space="preserve">Centering/shuttering works, </v>
          </cell>
          <cell r="D96" t="str">
            <v>Mason</v>
          </cell>
          <cell r="E96">
            <v>0.17199999999999999</v>
          </cell>
          <cell r="F96">
            <v>195</v>
          </cell>
          <cell r="G96">
            <v>33.54</v>
          </cell>
          <cell r="H96" t="str">
            <v>Local wood</v>
          </cell>
          <cell r="I96">
            <v>5.2600000000000001E-2</v>
          </cell>
          <cell r="J96" t="str">
            <v>cu.m.</v>
          </cell>
          <cell r="K96">
            <v>17660</v>
          </cell>
          <cell r="L96">
            <v>154.82</v>
          </cell>
          <cell r="M96">
            <v>233.43</v>
          </cell>
          <cell r="N96">
            <v>35.01</v>
          </cell>
          <cell r="O96">
            <v>268.44</v>
          </cell>
        </row>
        <row r="97">
          <cell r="B97" t="str">
            <v>haulage 30m  for 1sqm.</v>
          </cell>
          <cell r="D97" t="str">
            <v>Coolies</v>
          </cell>
          <cell r="E97">
            <v>0.25700000000000001</v>
          </cell>
          <cell r="F97">
            <v>120</v>
          </cell>
          <cell r="G97">
            <v>30.84</v>
          </cell>
          <cell r="H97" t="str">
            <v>Nails</v>
          </cell>
          <cell r="I97">
            <v>0.25</v>
          </cell>
          <cell r="J97" t="str">
            <v>kg</v>
          </cell>
          <cell r="K97">
            <v>56.9</v>
          </cell>
          <cell r="L97">
            <v>14.23</v>
          </cell>
        </row>
        <row r="100">
          <cell r="A100">
            <v>9.1</v>
          </cell>
          <cell r="B100" t="str">
            <v xml:space="preserve">CGI sheet roofing work including procuring </v>
          </cell>
          <cell r="D100" t="str">
            <v>Mason</v>
          </cell>
          <cell r="E100">
            <v>0.2</v>
          </cell>
          <cell r="F100">
            <v>195</v>
          </cell>
          <cell r="G100">
            <v>39</v>
          </cell>
          <cell r="H100" t="str">
            <v>CGI sheet 24-26swg</v>
          </cell>
          <cell r="I100">
            <v>1.2</v>
          </cell>
          <cell r="J100" t="str">
            <v>sqm</v>
          </cell>
          <cell r="K100">
            <v>4900</v>
          </cell>
          <cell r="L100">
            <v>980</v>
          </cell>
          <cell r="M100">
            <v>2089</v>
          </cell>
          <cell r="N100">
            <v>313.35000000000002</v>
          </cell>
          <cell r="O100">
            <v>2402.35</v>
          </cell>
        </row>
        <row r="101">
          <cell r="B101" t="str">
            <v>of materials for 1m2:</v>
          </cell>
          <cell r="D101" t="str">
            <v>Coolies</v>
          </cell>
          <cell r="E101">
            <v>0.25</v>
          </cell>
          <cell r="F101">
            <v>120</v>
          </cell>
          <cell r="G101">
            <v>30</v>
          </cell>
          <cell r="H101" t="str">
            <v>8mm nut/bolt</v>
          </cell>
          <cell r="I101">
            <v>3</v>
          </cell>
          <cell r="J101" t="str">
            <v>no</v>
          </cell>
          <cell r="K101">
            <v>10</v>
          </cell>
          <cell r="L101">
            <v>30</v>
          </cell>
        </row>
        <row r="102">
          <cell r="G102">
            <v>69</v>
          </cell>
          <cell r="H102" t="str">
            <v>J-hook+ bitu-washer</v>
          </cell>
          <cell r="I102">
            <v>2.5</v>
          </cell>
          <cell r="J102" t="str">
            <v>no</v>
          </cell>
          <cell r="K102">
            <v>5</v>
          </cell>
          <cell r="L102">
            <v>1010</v>
          </cell>
        </row>
        <row r="105">
          <cell r="A105">
            <v>9.1999999999999993</v>
          </cell>
          <cell r="B105" t="str">
            <v>GI plainsheet ridge fixing work</v>
          </cell>
          <cell r="D105" t="str">
            <v>Mason</v>
          </cell>
          <cell r="E105">
            <v>0.2</v>
          </cell>
          <cell r="F105">
            <v>195</v>
          </cell>
          <cell r="G105">
            <v>39</v>
          </cell>
          <cell r="H105" t="str">
            <v>GI plainsheet 28swg</v>
          </cell>
          <cell r="I105">
            <v>1.2</v>
          </cell>
          <cell r="J105" t="str">
            <v>sqm</v>
          </cell>
          <cell r="K105">
            <v>4900</v>
          </cell>
          <cell r="L105">
            <v>980</v>
          </cell>
          <cell r="M105">
            <v>1089</v>
          </cell>
          <cell r="N105">
            <v>163.35</v>
          </cell>
          <cell r="O105">
            <v>1252.3499999999999</v>
          </cell>
        </row>
        <row r="106">
          <cell r="B106" t="str">
            <v>all complete, for 1 rm.</v>
          </cell>
          <cell r="D106" t="str">
            <v>Coolies</v>
          </cell>
          <cell r="E106">
            <v>0.25</v>
          </cell>
          <cell r="F106">
            <v>120</v>
          </cell>
          <cell r="G106">
            <v>30</v>
          </cell>
          <cell r="H106" t="str">
            <v>8mm nut/bolt</v>
          </cell>
          <cell r="I106">
            <v>4</v>
          </cell>
          <cell r="J106" t="str">
            <v>no</v>
          </cell>
          <cell r="K106">
            <v>10</v>
          </cell>
          <cell r="L106">
            <v>40</v>
          </cell>
        </row>
        <row r="108">
          <cell r="B108" t="str">
            <v>Salwood work for doors &amp; windows:</v>
          </cell>
        </row>
        <row r="109">
          <cell r="A109" t="str">
            <v>10.1a</v>
          </cell>
          <cell r="B109" t="str">
            <v>Frames (Chaukhat ) for 1cum.</v>
          </cell>
          <cell r="D109" t="str">
            <v>Carpenter</v>
          </cell>
          <cell r="E109">
            <v>34</v>
          </cell>
          <cell r="F109">
            <v>195</v>
          </cell>
          <cell r="G109">
            <v>6630</v>
          </cell>
          <cell r="H109" t="str">
            <v>Salwood</v>
          </cell>
          <cell r="I109">
            <v>1.1000000000000001</v>
          </cell>
          <cell r="J109" t="str">
            <v>cum.</v>
          </cell>
          <cell r="K109">
            <v>38946</v>
          </cell>
          <cell r="L109">
            <v>42840.6</v>
          </cell>
          <cell r="M109">
            <v>50890.6</v>
          </cell>
          <cell r="N109">
            <v>7633.59</v>
          </cell>
          <cell r="O109">
            <v>58524.19</v>
          </cell>
        </row>
        <row r="110">
          <cell r="B110" t="str">
            <v>(wood size 75 x 100 mm)</v>
          </cell>
          <cell r="D110" t="str">
            <v>Laborer</v>
          </cell>
          <cell r="E110">
            <v>3.4</v>
          </cell>
          <cell r="F110">
            <v>120</v>
          </cell>
          <cell r="G110">
            <v>408</v>
          </cell>
          <cell r="H110" t="str">
            <v>Holdfast</v>
          </cell>
          <cell r="I110">
            <v>92</v>
          </cell>
          <cell r="J110" t="str">
            <v>no</v>
          </cell>
          <cell r="K110">
            <v>10</v>
          </cell>
          <cell r="L110">
            <v>920</v>
          </cell>
        </row>
        <row r="111">
          <cell r="H111" t="str">
            <v>nails/screws</v>
          </cell>
          <cell r="I111">
            <v>184</v>
          </cell>
          <cell r="J111" t="str">
            <v>no</v>
          </cell>
          <cell r="K111">
            <v>0.5</v>
          </cell>
          <cell r="L111">
            <v>92</v>
          </cell>
        </row>
        <row r="113">
          <cell r="A113" t="str">
            <v>10.1b</v>
          </cell>
          <cell r="B113" t="str">
            <v>For one Frame (chaukat) of size (900x2100 mm)</v>
          </cell>
          <cell r="M113">
            <v>1946.57</v>
          </cell>
          <cell r="O113">
            <v>2238.5500000000002</v>
          </cell>
        </row>
        <row r="115">
          <cell r="A115" t="str">
            <v>10.2a</v>
          </cell>
          <cell r="B115" t="str">
            <v>Making and fixing panelled door shutter with</v>
          </cell>
          <cell r="D115" t="str">
            <v>Carpenter</v>
          </cell>
          <cell r="E115">
            <v>10</v>
          </cell>
          <cell r="F115">
            <v>195</v>
          </cell>
          <cell r="G115">
            <v>1950</v>
          </cell>
          <cell r="H115" t="str">
            <v>Salwood</v>
          </cell>
          <cell r="I115">
            <v>8.4000000000000005E-2</v>
          </cell>
          <cell r="J115" t="str">
            <v>cum.</v>
          </cell>
          <cell r="K115">
            <v>38946</v>
          </cell>
          <cell r="L115">
            <v>3271.46</v>
          </cell>
          <cell r="M115">
            <v>5756.46</v>
          </cell>
          <cell r="N115">
            <v>863.47</v>
          </cell>
          <cell r="O115">
            <v>6619.93</v>
          </cell>
        </row>
        <row r="116">
          <cell r="B116" t="str">
            <v>38mm thick frame for one shutter</v>
          </cell>
          <cell r="D116" t="str">
            <v>Laborer</v>
          </cell>
          <cell r="E116">
            <v>1</v>
          </cell>
          <cell r="F116">
            <v>120</v>
          </cell>
          <cell r="G116">
            <v>120</v>
          </cell>
          <cell r="H116" t="str">
            <v xml:space="preserve"> Hinge 6"</v>
          </cell>
          <cell r="I116">
            <v>6</v>
          </cell>
          <cell r="J116" t="str">
            <v>no</v>
          </cell>
          <cell r="K116">
            <v>20</v>
          </cell>
          <cell r="L116">
            <v>120</v>
          </cell>
        </row>
        <row r="117">
          <cell r="B117" t="str">
            <v xml:space="preserve">     (Shutter size : 1.07x1.982 = 2.123 sqm)</v>
          </cell>
          <cell r="H117" t="str">
            <v xml:space="preserve"> Tower bolt 6"</v>
          </cell>
          <cell r="I117">
            <v>1</v>
          </cell>
          <cell r="J117" t="str">
            <v>no</v>
          </cell>
          <cell r="K117">
            <v>25</v>
          </cell>
          <cell r="L117">
            <v>25</v>
          </cell>
        </row>
        <row r="118">
          <cell r="H118" t="str">
            <v xml:space="preserve"> Tower bolt 12"</v>
          </cell>
          <cell r="I118">
            <v>1</v>
          </cell>
          <cell r="J118" t="str">
            <v>no</v>
          </cell>
          <cell r="K118">
            <v>40</v>
          </cell>
          <cell r="L118">
            <v>40</v>
          </cell>
        </row>
        <row r="119">
          <cell r="H119" t="str">
            <v xml:space="preserve"> Lockset 250mm</v>
          </cell>
          <cell r="I119">
            <v>1</v>
          </cell>
          <cell r="J119" t="str">
            <v>no</v>
          </cell>
          <cell r="K119">
            <v>120</v>
          </cell>
          <cell r="L119">
            <v>120</v>
          </cell>
        </row>
        <row r="120">
          <cell r="H120" t="str">
            <v xml:space="preserve"> Handle</v>
          </cell>
          <cell r="I120">
            <v>2</v>
          </cell>
          <cell r="J120" t="str">
            <v>no</v>
          </cell>
          <cell r="K120">
            <v>50</v>
          </cell>
          <cell r="L120">
            <v>100</v>
          </cell>
        </row>
        <row r="121">
          <cell r="H121" t="str">
            <v xml:space="preserve"> Screw</v>
          </cell>
          <cell r="I121">
            <v>0.5</v>
          </cell>
          <cell r="J121" t="str">
            <v>kg</v>
          </cell>
          <cell r="K121">
            <v>20</v>
          </cell>
          <cell r="L121">
            <v>10</v>
          </cell>
        </row>
        <row r="123">
          <cell r="A123" t="str">
            <v>10.2b</v>
          </cell>
          <cell r="B123" t="str">
            <v>Rate for 1 sqm.</v>
          </cell>
          <cell r="M123">
            <v>3118.2</v>
          </cell>
          <cell r="N123">
            <v>467.73</v>
          </cell>
          <cell r="O123">
            <v>3585.93</v>
          </cell>
        </row>
        <row r="125">
          <cell r="A125" t="str">
            <v>10.9a1</v>
          </cell>
          <cell r="B125" t="str">
            <v>Fixing GI plainsheet on both sides of 38mm thick</v>
          </cell>
          <cell r="D125" t="str">
            <v>Carpenter</v>
          </cell>
          <cell r="E125">
            <v>7</v>
          </cell>
          <cell r="F125">
            <v>195</v>
          </cell>
          <cell r="G125">
            <v>1365</v>
          </cell>
          <cell r="H125" t="str">
            <v>Salwood</v>
          </cell>
          <cell r="I125">
            <v>3.4599999999999999E-2</v>
          </cell>
          <cell r="J125" t="str">
            <v>cum.</v>
          </cell>
          <cell r="K125">
            <v>38946</v>
          </cell>
          <cell r="L125">
            <v>1347.53</v>
          </cell>
          <cell r="M125">
            <v>4026.79</v>
          </cell>
          <cell r="N125">
            <v>604.02</v>
          </cell>
          <cell r="O125">
            <v>4630.8100000000004</v>
          </cell>
        </row>
        <row r="126">
          <cell r="B126" t="str">
            <v>1.09x2.06=2.245 sqm door frame</v>
          </cell>
          <cell r="D126" t="str">
            <v>Laborer</v>
          </cell>
          <cell r="E126">
            <v>0.7</v>
          </cell>
          <cell r="F126">
            <v>120</v>
          </cell>
          <cell r="G126">
            <v>84</v>
          </cell>
          <cell r="H126" t="str">
            <v xml:space="preserve"> Hinge 6"</v>
          </cell>
          <cell r="I126">
            <v>3</v>
          </cell>
          <cell r="J126" t="str">
            <v>no</v>
          </cell>
          <cell r="K126">
            <v>20</v>
          </cell>
          <cell r="L126">
            <v>60</v>
          </cell>
        </row>
        <row r="127">
          <cell r="H127" t="str">
            <v xml:space="preserve"> Tower bolt 6"</v>
          </cell>
          <cell r="I127">
            <v>1</v>
          </cell>
          <cell r="J127" t="str">
            <v>no</v>
          </cell>
          <cell r="K127">
            <v>25</v>
          </cell>
          <cell r="L127">
            <v>25</v>
          </cell>
        </row>
        <row r="128">
          <cell r="H128" t="str">
            <v xml:space="preserve"> Tower bolt 12"</v>
          </cell>
          <cell r="I128">
            <v>1</v>
          </cell>
          <cell r="J128" t="str">
            <v>no</v>
          </cell>
          <cell r="K128">
            <v>40</v>
          </cell>
          <cell r="L128">
            <v>40</v>
          </cell>
        </row>
        <row r="129">
          <cell r="H129" t="str">
            <v xml:space="preserve"> Lockset 250mm</v>
          </cell>
          <cell r="I129">
            <v>1</v>
          </cell>
          <cell r="J129" t="str">
            <v>no</v>
          </cell>
          <cell r="K129">
            <v>120</v>
          </cell>
          <cell r="L129">
            <v>120</v>
          </cell>
        </row>
        <row r="130">
          <cell r="H130" t="str">
            <v xml:space="preserve"> Handle</v>
          </cell>
          <cell r="I130">
            <v>1</v>
          </cell>
          <cell r="J130" t="str">
            <v>no</v>
          </cell>
          <cell r="K130">
            <v>50</v>
          </cell>
          <cell r="L130">
            <v>50</v>
          </cell>
        </row>
        <row r="131">
          <cell r="H131" t="str">
            <v>GI plainsheet 28swg</v>
          </cell>
          <cell r="I131">
            <v>4.6500000000000004</v>
          </cell>
          <cell r="J131" t="str">
            <v>sqm</v>
          </cell>
          <cell r="K131">
            <v>200.7</v>
          </cell>
          <cell r="L131">
            <v>933.26</v>
          </cell>
        </row>
        <row r="132">
          <cell r="H132" t="str">
            <v xml:space="preserve"> Screw</v>
          </cell>
          <cell r="J132" t="str">
            <v>LS</v>
          </cell>
          <cell r="L132">
            <v>2</v>
          </cell>
        </row>
        <row r="134">
          <cell r="A134" t="str">
            <v>10.9a2</v>
          </cell>
          <cell r="B134" t="str">
            <v>Rate for 1 sqm.</v>
          </cell>
          <cell r="M134">
            <v>2062.7199999999998</v>
          </cell>
          <cell r="N134">
            <v>309.41000000000003</v>
          </cell>
          <cell r="O134">
            <v>2372.13</v>
          </cell>
        </row>
        <row r="136">
          <cell r="A136" t="str">
            <v>10.10a1</v>
          </cell>
          <cell r="B136" t="str">
            <v>Fixing mosquito proof wirenet to 38mm thick</v>
          </cell>
          <cell r="D136" t="str">
            <v>Carpenter</v>
          </cell>
          <cell r="E136">
            <v>5</v>
          </cell>
          <cell r="F136">
            <v>195</v>
          </cell>
          <cell r="G136">
            <v>975</v>
          </cell>
          <cell r="H136" t="str">
            <v>Salwood</v>
          </cell>
          <cell r="I136">
            <v>2.5999999999999999E-2</v>
          </cell>
          <cell r="J136" t="str">
            <v>cum.</v>
          </cell>
          <cell r="K136">
            <v>38946</v>
          </cell>
          <cell r="L136">
            <v>1012.6</v>
          </cell>
          <cell r="M136">
            <v>2759.93</v>
          </cell>
          <cell r="N136">
            <v>413.99</v>
          </cell>
          <cell r="O136">
            <v>3173.92</v>
          </cell>
        </row>
        <row r="137">
          <cell r="B137" t="str">
            <v>1.09x2.06=2.245 sqm frame</v>
          </cell>
          <cell r="D137" t="str">
            <v>Laborer</v>
          </cell>
          <cell r="E137">
            <v>0.5</v>
          </cell>
          <cell r="F137">
            <v>120</v>
          </cell>
          <cell r="G137">
            <v>60</v>
          </cell>
          <cell r="H137" t="str">
            <v xml:space="preserve"> Hinge 6"</v>
          </cell>
          <cell r="I137">
            <v>3</v>
          </cell>
          <cell r="J137" t="str">
            <v>no</v>
          </cell>
          <cell r="K137">
            <v>20</v>
          </cell>
          <cell r="L137">
            <v>60</v>
          </cell>
        </row>
        <row r="138">
          <cell r="H138" t="str">
            <v xml:space="preserve"> Tower bolt 6"</v>
          </cell>
          <cell r="I138">
            <v>1</v>
          </cell>
          <cell r="J138" t="str">
            <v>no</v>
          </cell>
          <cell r="K138">
            <v>25</v>
          </cell>
          <cell r="L138">
            <v>25</v>
          </cell>
        </row>
        <row r="139">
          <cell r="H139" t="str">
            <v xml:space="preserve"> Tower bolt 12"</v>
          </cell>
          <cell r="I139">
            <v>1</v>
          </cell>
          <cell r="J139" t="str">
            <v>no</v>
          </cell>
          <cell r="K139">
            <v>40</v>
          </cell>
          <cell r="L139">
            <v>40</v>
          </cell>
        </row>
        <row r="140">
          <cell r="H140" t="str">
            <v>wiremesh 24 SWG</v>
          </cell>
          <cell r="I140">
            <v>2.13</v>
          </cell>
          <cell r="J140" t="str">
            <v>sqm</v>
          </cell>
          <cell r="K140">
            <v>251.33</v>
          </cell>
          <cell r="L140">
            <v>535.33000000000004</v>
          </cell>
        </row>
        <row r="141">
          <cell r="H141" t="str">
            <v xml:space="preserve"> Handle</v>
          </cell>
          <cell r="I141">
            <v>1</v>
          </cell>
          <cell r="J141" t="str">
            <v>no</v>
          </cell>
          <cell r="K141">
            <v>50</v>
          </cell>
          <cell r="L141">
            <v>50</v>
          </cell>
        </row>
        <row r="142">
          <cell r="H142" t="str">
            <v xml:space="preserve"> Screw</v>
          </cell>
          <cell r="J142" t="str">
            <v>LS</v>
          </cell>
          <cell r="L142">
            <v>2</v>
          </cell>
        </row>
        <row r="143">
          <cell r="A143" t="str">
            <v>10.10a2</v>
          </cell>
          <cell r="B143" t="str">
            <v>Rate for 1 sqm.</v>
          </cell>
          <cell r="M143">
            <v>1413.77</v>
          </cell>
          <cell r="N143">
            <v>212.07</v>
          </cell>
          <cell r="O143">
            <v>1625.84</v>
          </cell>
        </row>
        <row r="145">
          <cell r="A145">
            <v>10.17</v>
          </cell>
          <cell r="B145" t="str">
            <v>Beams, Lintels, Wallplates etc. for 1cum.</v>
          </cell>
          <cell r="D145" t="str">
            <v>Carpenter</v>
          </cell>
          <cell r="E145">
            <v>17.649999999999999</v>
          </cell>
          <cell r="F145">
            <v>195</v>
          </cell>
          <cell r="G145">
            <v>3441.75</v>
          </cell>
          <cell r="H145" t="str">
            <v>Salwood</v>
          </cell>
          <cell r="I145">
            <v>1.05</v>
          </cell>
          <cell r="J145" t="str">
            <v>cum.</v>
          </cell>
          <cell r="K145">
            <v>38946</v>
          </cell>
          <cell r="L145">
            <v>40893.300000000003</v>
          </cell>
          <cell r="M145">
            <v>44603.75</v>
          </cell>
          <cell r="N145">
            <v>6690.56</v>
          </cell>
          <cell r="O145">
            <v>51294.31</v>
          </cell>
        </row>
        <row r="146">
          <cell r="B146" t="str">
            <v>( for span &lt;9m)</v>
          </cell>
          <cell r="D146" t="str">
            <v>Laborer</v>
          </cell>
          <cell r="E146">
            <v>1.7649999999999999</v>
          </cell>
          <cell r="F146">
            <v>120</v>
          </cell>
          <cell r="G146">
            <v>211.8</v>
          </cell>
          <cell r="H146" t="str">
            <v>Nails</v>
          </cell>
          <cell r="I146">
            <v>1</v>
          </cell>
          <cell r="J146" t="str">
            <v>kg</v>
          </cell>
          <cell r="K146">
            <v>56.9</v>
          </cell>
          <cell r="L146">
            <v>56.9</v>
          </cell>
        </row>
        <row r="148">
          <cell r="A148">
            <v>10.18</v>
          </cell>
          <cell r="B148" t="str">
            <v>Trusses including fixing for 1cum.</v>
          </cell>
          <cell r="D148" t="str">
            <v>Carpenter</v>
          </cell>
          <cell r="E148">
            <v>17.649999999999999</v>
          </cell>
          <cell r="F148">
            <v>195</v>
          </cell>
          <cell r="G148">
            <v>3441.75</v>
          </cell>
          <cell r="H148" t="str">
            <v>Salwood</v>
          </cell>
          <cell r="I148">
            <v>1.05</v>
          </cell>
          <cell r="J148" t="str">
            <v>cum.</v>
          </cell>
          <cell r="K148">
            <v>38946</v>
          </cell>
          <cell r="L148">
            <v>40893.300000000003</v>
          </cell>
          <cell r="M148">
            <v>48593.05</v>
          </cell>
          <cell r="N148">
            <v>7288.96</v>
          </cell>
          <cell r="O148">
            <v>55882.01</v>
          </cell>
        </row>
        <row r="149">
          <cell r="D149" t="str">
            <v>Laborer</v>
          </cell>
          <cell r="E149">
            <v>26</v>
          </cell>
          <cell r="F149">
            <v>120</v>
          </cell>
          <cell r="G149">
            <v>3120</v>
          </cell>
          <cell r="H149" t="str">
            <v>Strips</v>
          </cell>
          <cell r="I149">
            <v>10</v>
          </cell>
          <cell r="J149" t="str">
            <v>kg</v>
          </cell>
          <cell r="K149">
            <v>56.9</v>
          </cell>
          <cell r="L149">
            <v>569</v>
          </cell>
        </row>
        <row r="150">
          <cell r="H150" t="str">
            <v>Nails</v>
          </cell>
          <cell r="I150">
            <v>10</v>
          </cell>
          <cell r="J150" t="str">
            <v>kg</v>
          </cell>
          <cell r="K150">
            <v>56.9</v>
          </cell>
          <cell r="L150">
            <v>569</v>
          </cell>
        </row>
        <row r="152">
          <cell r="A152">
            <v>10.19</v>
          </cell>
          <cell r="B152" t="str">
            <v>25mm thick Eavesboard including fixing for 1sqm.</v>
          </cell>
          <cell r="D152" t="str">
            <v>Carpenter</v>
          </cell>
          <cell r="E152">
            <v>0.14299999999999999</v>
          </cell>
          <cell r="F152">
            <v>195</v>
          </cell>
          <cell r="G152">
            <v>27.89</v>
          </cell>
          <cell r="H152" t="str">
            <v>Salwood</v>
          </cell>
          <cell r="I152">
            <v>2.75E-2</v>
          </cell>
          <cell r="J152" t="str">
            <v>cum.</v>
          </cell>
          <cell r="K152">
            <v>38946</v>
          </cell>
          <cell r="L152">
            <v>1071.02</v>
          </cell>
          <cell r="M152">
            <v>1109.17</v>
          </cell>
          <cell r="N152">
            <v>166.38</v>
          </cell>
          <cell r="O152">
            <v>1275.55</v>
          </cell>
        </row>
        <row r="153">
          <cell r="D153" t="str">
            <v>Laborer</v>
          </cell>
          <cell r="E153">
            <v>1.43E-2</v>
          </cell>
          <cell r="F153">
            <v>120</v>
          </cell>
          <cell r="G153">
            <v>1.72</v>
          </cell>
          <cell r="H153" t="str">
            <v>Nails</v>
          </cell>
          <cell r="I153">
            <v>0.15</v>
          </cell>
          <cell r="J153" t="str">
            <v>kg</v>
          </cell>
          <cell r="K153">
            <v>56.9</v>
          </cell>
          <cell r="L153">
            <v>8.5399999999999991</v>
          </cell>
        </row>
        <row r="155">
          <cell r="A155" t="str">
            <v>10.20d</v>
          </cell>
          <cell r="B155" t="str">
            <v>Fixing mosquito proof wirenet to existing frames</v>
          </cell>
          <cell r="D155" t="str">
            <v>Carpenter</v>
          </cell>
          <cell r="E155">
            <v>0.108</v>
          </cell>
          <cell r="F155">
            <v>195</v>
          </cell>
          <cell r="G155">
            <v>21.06</v>
          </cell>
          <cell r="H155" t="str">
            <v>Salwood for Listies</v>
          </cell>
          <cell r="I155">
            <v>2E-3</v>
          </cell>
          <cell r="J155" t="str">
            <v>cum.</v>
          </cell>
          <cell r="K155">
            <v>38946</v>
          </cell>
          <cell r="L155">
            <v>77.89</v>
          </cell>
          <cell r="M155">
            <v>394.3</v>
          </cell>
          <cell r="N155">
            <v>59.15</v>
          </cell>
          <cell r="O155">
            <v>453.45</v>
          </cell>
        </row>
        <row r="156">
          <cell r="B156" t="str">
            <v>for 1 sqm.</v>
          </cell>
          <cell r="D156" t="str">
            <v>Laborer</v>
          </cell>
          <cell r="E156">
            <v>0.11</v>
          </cell>
          <cell r="F156">
            <v>120</v>
          </cell>
          <cell r="G156">
            <v>13.2</v>
          </cell>
          <cell r="H156" t="str">
            <v>mosquito net</v>
          </cell>
          <cell r="I156">
            <v>1.1000000000000001</v>
          </cell>
          <cell r="J156" t="str">
            <v>sqm</v>
          </cell>
          <cell r="K156">
            <v>251.33</v>
          </cell>
          <cell r="L156">
            <v>276.45999999999998</v>
          </cell>
        </row>
        <row r="157">
          <cell r="H157" t="str">
            <v>Nails</v>
          </cell>
          <cell r="I157">
            <v>0.1</v>
          </cell>
          <cell r="J157" t="str">
            <v>kg</v>
          </cell>
          <cell r="K157">
            <v>56.9</v>
          </cell>
          <cell r="L157">
            <v>5.69</v>
          </cell>
        </row>
        <row r="159">
          <cell r="A159" t="str">
            <v>11.20</v>
          </cell>
          <cell r="B159" t="str">
            <v>3 mm thick cement punning for 1sqm.</v>
          </cell>
          <cell r="D159" t="str">
            <v>Mason</v>
          </cell>
          <cell r="E159">
            <v>0.1</v>
          </cell>
          <cell r="F159">
            <v>195</v>
          </cell>
          <cell r="G159">
            <v>19.5</v>
          </cell>
          <cell r="H159" t="str">
            <v>cement</v>
          </cell>
          <cell r="I159">
            <v>5.3200000000000001E-3</v>
          </cell>
          <cell r="J159" t="str">
            <v>mt</v>
          </cell>
          <cell r="K159">
            <v>8440</v>
          </cell>
          <cell r="L159">
            <v>44.9</v>
          </cell>
          <cell r="M159">
            <v>76.400000000000006</v>
          </cell>
          <cell r="N159">
            <v>11.46</v>
          </cell>
          <cell r="O159">
            <v>87.86</v>
          </cell>
        </row>
        <row r="160">
          <cell r="D160" t="str">
            <v>Coolies</v>
          </cell>
          <cell r="E160">
            <v>0.1</v>
          </cell>
          <cell r="F160">
            <v>120</v>
          </cell>
          <cell r="G160">
            <v>12</v>
          </cell>
        </row>
        <row r="162">
          <cell r="B162" t="str">
            <v>12.5 mm thick c/s plaster for  1sqm.</v>
          </cell>
        </row>
        <row r="163">
          <cell r="A163" t="str">
            <v>12.1a</v>
          </cell>
          <cell r="B163" t="str">
            <v>in (1:2)  c/s mortar</v>
          </cell>
          <cell r="D163" t="str">
            <v>Mason</v>
          </cell>
          <cell r="E163">
            <v>0.12</v>
          </cell>
          <cell r="F163">
            <v>195</v>
          </cell>
          <cell r="G163">
            <v>23.4</v>
          </cell>
          <cell r="H163" t="str">
            <v>cement</v>
          </cell>
          <cell r="I163">
            <v>8.9999999999999993E-3</v>
          </cell>
          <cell r="J163" t="str">
            <v>MT</v>
          </cell>
          <cell r="K163">
            <v>8440</v>
          </cell>
          <cell r="L163">
            <v>75.959999999999994</v>
          </cell>
          <cell r="M163">
            <v>155.27000000000001</v>
          </cell>
          <cell r="N163">
            <v>23.29</v>
          </cell>
          <cell r="O163">
            <v>178.56</v>
          </cell>
        </row>
        <row r="164">
          <cell r="D164" t="str">
            <v>Labor</v>
          </cell>
          <cell r="E164">
            <v>0.16</v>
          </cell>
          <cell r="F164">
            <v>120</v>
          </cell>
          <cell r="G164">
            <v>19.2</v>
          </cell>
          <cell r="H164" t="str">
            <v>sand</v>
          </cell>
          <cell r="I164">
            <v>1.2200000000000001E-2</v>
          </cell>
          <cell r="J164" t="str">
            <v>cu.m.</v>
          </cell>
          <cell r="K164">
            <v>3008.95</v>
          </cell>
          <cell r="L164">
            <v>36.71</v>
          </cell>
        </row>
        <row r="166">
          <cell r="A166" t="str">
            <v>12.1b</v>
          </cell>
          <cell r="B166" t="str">
            <v>in (1:3) c/s mortar</v>
          </cell>
          <cell r="D166" t="str">
            <v>Mason</v>
          </cell>
          <cell r="E166">
            <v>0.12</v>
          </cell>
          <cell r="F166">
            <v>195</v>
          </cell>
          <cell r="G166">
            <v>23.4</v>
          </cell>
          <cell r="H166" t="str">
            <v>cement</v>
          </cell>
          <cell r="I166">
            <v>6.1999999999999998E-3</v>
          </cell>
          <cell r="J166" t="str">
            <v>MT</v>
          </cell>
          <cell r="K166">
            <v>8440</v>
          </cell>
          <cell r="L166">
            <v>52.33</v>
          </cell>
          <cell r="M166">
            <v>133.44</v>
          </cell>
          <cell r="N166">
            <v>20.02</v>
          </cell>
          <cell r="O166">
            <v>153.46</v>
          </cell>
        </row>
        <row r="167">
          <cell r="D167" t="str">
            <v>Labor</v>
          </cell>
          <cell r="E167">
            <v>0.16</v>
          </cell>
          <cell r="F167">
            <v>120</v>
          </cell>
          <cell r="G167">
            <v>19.2</v>
          </cell>
          <cell r="H167" t="str">
            <v>sand</v>
          </cell>
          <cell r="I167">
            <v>1.2800000000000001E-2</v>
          </cell>
          <cell r="J167" t="str">
            <v>cu.m.</v>
          </cell>
          <cell r="K167">
            <v>3008.95</v>
          </cell>
          <cell r="L167">
            <v>38.51</v>
          </cell>
        </row>
        <row r="169">
          <cell r="A169" t="str">
            <v>12.1c</v>
          </cell>
          <cell r="B169" t="str">
            <v>in (1:4) c/s mortar</v>
          </cell>
          <cell r="D169" t="str">
            <v>Mason</v>
          </cell>
          <cell r="E169">
            <v>0.12</v>
          </cell>
          <cell r="F169">
            <v>195</v>
          </cell>
          <cell r="G169">
            <v>23.4</v>
          </cell>
          <cell r="H169" t="str">
            <v>cement</v>
          </cell>
          <cell r="I169">
            <v>5.3800000000000002E-3</v>
          </cell>
          <cell r="J169" t="str">
            <v>MT</v>
          </cell>
          <cell r="K169">
            <v>8440</v>
          </cell>
          <cell r="L169">
            <v>45.41</v>
          </cell>
          <cell r="M169">
            <v>131.94</v>
          </cell>
          <cell r="N169">
            <v>19.79</v>
          </cell>
          <cell r="O169">
            <v>151.72999999999999</v>
          </cell>
        </row>
        <row r="170">
          <cell r="D170" t="str">
            <v>Labor</v>
          </cell>
          <cell r="E170">
            <v>0.16</v>
          </cell>
          <cell r="F170">
            <v>120</v>
          </cell>
          <cell r="G170">
            <v>19.2</v>
          </cell>
          <cell r="H170" t="str">
            <v>sand</v>
          </cell>
          <cell r="I170">
            <v>1.46E-2</v>
          </cell>
          <cell r="J170" t="str">
            <v>cu.m.</v>
          </cell>
          <cell r="K170">
            <v>3008.95</v>
          </cell>
          <cell r="L170">
            <v>43.93</v>
          </cell>
        </row>
        <row r="172">
          <cell r="B172" t="str">
            <v>20 mm thick c/s plaster for 1sqm.</v>
          </cell>
        </row>
        <row r="173">
          <cell r="A173" t="str">
            <v>12.4a1</v>
          </cell>
          <cell r="B173" t="str">
            <v>in (1:3) c/s mortar</v>
          </cell>
          <cell r="D173" t="str">
            <v>Mason</v>
          </cell>
          <cell r="E173">
            <v>0.14000000000000001</v>
          </cell>
          <cell r="F173">
            <v>195</v>
          </cell>
          <cell r="G173">
            <v>27.3</v>
          </cell>
          <cell r="H173" t="str">
            <v>cement</v>
          </cell>
          <cell r="I173">
            <v>9.5999999999999992E-3</v>
          </cell>
          <cell r="J173" t="str">
            <v>MT</v>
          </cell>
          <cell r="K173">
            <v>8440</v>
          </cell>
          <cell r="L173">
            <v>81.02</v>
          </cell>
          <cell r="M173">
            <v>189.79</v>
          </cell>
          <cell r="N173">
            <v>28.47</v>
          </cell>
          <cell r="O173">
            <v>218.26</v>
          </cell>
        </row>
        <row r="174">
          <cell r="D174" t="str">
            <v>Labor</v>
          </cell>
          <cell r="E174">
            <v>0.19</v>
          </cell>
          <cell r="F174">
            <v>120</v>
          </cell>
          <cell r="G174">
            <v>22.8</v>
          </cell>
          <cell r="H174" t="str">
            <v>sand</v>
          </cell>
          <cell r="I174">
            <v>1.95E-2</v>
          </cell>
          <cell r="J174" t="str">
            <v>cu.m.</v>
          </cell>
          <cell r="K174">
            <v>3008.95</v>
          </cell>
          <cell r="L174">
            <v>58.67</v>
          </cell>
        </row>
        <row r="176">
          <cell r="A176" t="str">
            <v>12.4a2</v>
          </cell>
          <cell r="B176" t="str">
            <v>in (1:3) c/s mortar with 2% WPC</v>
          </cell>
          <cell r="D176" t="str">
            <v>Mason</v>
          </cell>
          <cell r="E176">
            <v>0.14000000000000001</v>
          </cell>
          <cell r="F176">
            <v>195</v>
          </cell>
          <cell r="G176">
            <v>27.3</v>
          </cell>
          <cell r="H176" t="str">
            <v>cement</v>
          </cell>
          <cell r="I176">
            <v>9.5999999999999992E-3</v>
          </cell>
          <cell r="J176" t="str">
            <v>MT</v>
          </cell>
          <cell r="K176">
            <v>8440</v>
          </cell>
          <cell r="L176">
            <v>81.02</v>
          </cell>
          <cell r="M176">
            <v>199.79</v>
          </cell>
          <cell r="N176">
            <v>29.97</v>
          </cell>
          <cell r="O176">
            <v>229.76</v>
          </cell>
        </row>
        <row r="177">
          <cell r="D177" t="str">
            <v>Labor</v>
          </cell>
          <cell r="E177">
            <v>0.19</v>
          </cell>
          <cell r="F177">
            <v>120</v>
          </cell>
          <cell r="G177">
            <v>22.8</v>
          </cell>
          <cell r="H177" t="str">
            <v>sand</v>
          </cell>
          <cell r="I177">
            <v>1.95E-2</v>
          </cell>
          <cell r="J177" t="str">
            <v>cu.m.</v>
          </cell>
          <cell r="K177">
            <v>3008.95</v>
          </cell>
          <cell r="L177">
            <v>58.67</v>
          </cell>
        </row>
        <row r="178">
          <cell r="H178" t="str">
            <v>WPC</v>
          </cell>
          <cell r="I178">
            <v>0.2</v>
          </cell>
          <cell r="J178" t="str">
            <v>kg</v>
          </cell>
          <cell r="K178">
            <v>50</v>
          </cell>
          <cell r="L178">
            <v>10</v>
          </cell>
        </row>
        <row r="180">
          <cell r="A180" t="str">
            <v>12.4b</v>
          </cell>
          <cell r="B180" t="str">
            <v>in (1:4) c/s mortar</v>
          </cell>
          <cell r="D180" t="str">
            <v>Mason</v>
          </cell>
          <cell r="E180">
            <v>0.14000000000000001</v>
          </cell>
          <cell r="F180">
            <v>195</v>
          </cell>
          <cell r="G180">
            <v>27.3</v>
          </cell>
          <cell r="H180" t="str">
            <v>cement</v>
          </cell>
          <cell r="I180">
            <v>8.0999999999999996E-3</v>
          </cell>
          <cell r="J180" t="str">
            <v>MT</v>
          </cell>
          <cell r="K180">
            <v>8440</v>
          </cell>
          <cell r="L180">
            <v>68.36</v>
          </cell>
          <cell r="M180">
            <v>184.66</v>
          </cell>
          <cell r="N180">
            <v>27.7</v>
          </cell>
          <cell r="O180">
            <v>212.36</v>
          </cell>
        </row>
        <row r="181">
          <cell r="D181" t="str">
            <v>Labor</v>
          </cell>
          <cell r="E181">
            <v>0.19</v>
          </cell>
          <cell r="F181">
            <v>120</v>
          </cell>
          <cell r="G181">
            <v>22.8</v>
          </cell>
          <cell r="H181" t="str">
            <v>sand</v>
          </cell>
          <cell r="I181">
            <v>2.1999999999999999E-2</v>
          </cell>
          <cell r="J181" t="str">
            <v>cu.m.</v>
          </cell>
          <cell r="K181">
            <v>3008.95</v>
          </cell>
          <cell r="L181">
            <v>66.2</v>
          </cell>
        </row>
        <row r="183">
          <cell r="A183" t="str">
            <v>12.4c</v>
          </cell>
          <cell r="B183" t="str">
            <v>in (1:6) c/s mortar</v>
          </cell>
          <cell r="D183" t="str">
            <v>Mason</v>
          </cell>
          <cell r="E183">
            <v>0.14000000000000001</v>
          </cell>
          <cell r="F183">
            <v>195</v>
          </cell>
          <cell r="G183">
            <v>27.3</v>
          </cell>
          <cell r="H183" t="str">
            <v>cement</v>
          </cell>
          <cell r="I183">
            <v>5.7000000000000002E-3</v>
          </cell>
          <cell r="J183" t="str">
            <v>MT</v>
          </cell>
          <cell r="K183">
            <v>8440</v>
          </cell>
          <cell r="L183">
            <v>48.11</v>
          </cell>
          <cell r="M183">
            <v>168.92</v>
          </cell>
          <cell r="N183">
            <v>25.34</v>
          </cell>
          <cell r="O183">
            <v>194.26</v>
          </cell>
        </row>
        <row r="184">
          <cell r="D184" t="str">
            <v>Labor</v>
          </cell>
          <cell r="E184">
            <v>0.19</v>
          </cell>
          <cell r="F184">
            <v>120</v>
          </cell>
          <cell r="G184">
            <v>22.8</v>
          </cell>
          <cell r="H184" t="str">
            <v>sand</v>
          </cell>
          <cell r="I184">
            <v>2.35E-2</v>
          </cell>
          <cell r="J184" t="str">
            <v>cu.m.</v>
          </cell>
          <cell r="K184">
            <v>3008.95</v>
          </cell>
          <cell r="L184">
            <v>70.709999999999994</v>
          </cell>
        </row>
        <row r="186">
          <cell r="B186" t="str">
            <v>Cement (snowcem) paint for 1sqm.</v>
          </cell>
        </row>
        <row r="187">
          <cell r="A187" t="str">
            <v>13.4a</v>
          </cell>
          <cell r="B187" t="str">
            <v>a) Single coat</v>
          </cell>
          <cell r="D187" t="str">
            <v>Painter</v>
          </cell>
          <cell r="E187">
            <v>1.7000000000000001E-2</v>
          </cell>
          <cell r="F187">
            <v>195</v>
          </cell>
          <cell r="G187">
            <v>3.32</v>
          </cell>
          <cell r="H187" t="str">
            <v>snowcem</v>
          </cell>
          <cell r="I187">
            <v>0.3</v>
          </cell>
          <cell r="J187" t="str">
            <v>kg</v>
          </cell>
          <cell r="K187">
            <v>51.9</v>
          </cell>
          <cell r="L187">
            <v>15.57</v>
          </cell>
          <cell r="M187">
            <v>20.93</v>
          </cell>
          <cell r="N187">
            <v>3.14</v>
          </cell>
          <cell r="O187">
            <v>24.07</v>
          </cell>
        </row>
        <row r="188">
          <cell r="D188" t="str">
            <v>Helper</v>
          </cell>
          <cell r="E188">
            <v>1.7000000000000001E-2</v>
          </cell>
          <cell r="F188">
            <v>120</v>
          </cell>
          <cell r="G188">
            <v>2.04</v>
          </cell>
        </row>
        <row r="190">
          <cell r="A190" t="str">
            <v>13.4b</v>
          </cell>
          <cell r="B190" t="str">
            <v>b) Double coat</v>
          </cell>
          <cell r="D190" t="str">
            <v>Painter</v>
          </cell>
          <cell r="E190">
            <v>0.05</v>
          </cell>
          <cell r="F190">
            <v>195</v>
          </cell>
          <cell r="G190">
            <v>9.75</v>
          </cell>
          <cell r="H190" t="str">
            <v>snowcem</v>
          </cell>
          <cell r="I190">
            <v>0.48499999999999999</v>
          </cell>
          <cell r="J190" t="str">
            <v>kg</v>
          </cell>
          <cell r="K190">
            <v>51.9</v>
          </cell>
          <cell r="L190">
            <v>25.17</v>
          </cell>
          <cell r="M190">
            <v>40.92</v>
          </cell>
          <cell r="N190">
            <v>6.14</v>
          </cell>
          <cell r="O190">
            <v>47.06</v>
          </cell>
        </row>
        <row r="191">
          <cell r="D191" t="str">
            <v>Helper</v>
          </cell>
          <cell r="E191">
            <v>0.05</v>
          </cell>
          <cell r="F191">
            <v>120</v>
          </cell>
          <cell r="G191">
            <v>6</v>
          </cell>
        </row>
        <row r="193">
          <cell r="B193" t="str">
            <v>Readymade enamel paint work for 1sqm.</v>
          </cell>
        </row>
        <row r="194">
          <cell r="A194" t="str">
            <v>13.5a</v>
          </cell>
          <cell r="B194" t="str">
            <v>a) Primer coat</v>
          </cell>
          <cell r="D194" t="str">
            <v>Painter</v>
          </cell>
          <cell r="E194">
            <v>0.03</v>
          </cell>
          <cell r="F194">
            <v>195</v>
          </cell>
          <cell r="G194">
            <v>5.85</v>
          </cell>
          <cell r="H194" t="str">
            <v>Primer</v>
          </cell>
          <cell r="I194">
            <v>8.1000000000000003E-2</v>
          </cell>
          <cell r="J194" t="str">
            <v>ltr</v>
          </cell>
          <cell r="K194">
            <v>187.28</v>
          </cell>
          <cell r="L194">
            <v>15.17</v>
          </cell>
          <cell r="M194">
            <v>24.62</v>
          </cell>
          <cell r="N194">
            <v>3.69</v>
          </cell>
          <cell r="O194">
            <v>28.31</v>
          </cell>
        </row>
        <row r="195">
          <cell r="D195" t="str">
            <v>Labor</v>
          </cell>
          <cell r="E195">
            <v>0.03</v>
          </cell>
          <cell r="F195">
            <v>120</v>
          </cell>
          <cell r="G195">
            <v>3.6</v>
          </cell>
        </row>
        <row r="197">
          <cell r="A197" t="str">
            <v>13.5b</v>
          </cell>
          <cell r="B197" t="str">
            <v>b) Single (first coat)</v>
          </cell>
          <cell r="D197" t="str">
            <v>Painter</v>
          </cell>
          <cell r="E197">
            <v>0.05</v>
          </cell>
          <cell r="F197">
            <v>195</v>
          </cell>
          <cell r="G197">
            <v>9.75</v>
          </cell>
          <cell r="H197" t="str">
            <v>Enamel</v>
          </cell>
          <cell r="I197">
            <v>0.09</v>
          </cell>
          <cell r="J197" t="str">
            <v>ltr</v>
          </cell>
          <cell r="K197">
            <v>247.28</v>
          </cell>
          <cell r="L197">
            <v>22.26</v>
          </cell>
          <cell r="M197">
            <v>34.409999999999997</v>
          </cell>
          <cell r="N197">
            <v>5.16</v>
          </cell>
          <cell r="O197">
            <v>39.57</v>
          </cell>
        </row>
        <row r="198">
          <cell r="D198" t="str">
            <v>Helper</v>
          </cell>
          <cell r="E198">
            <v>0.02</v>
          </cell>
          <cell r="F198">
            <v>120</v>
          </cell>
          <cell r="G198">
            <v>2.4</v>
          </cell>
        </row>
        <row r="200">
          <cell r="A200" t="str">
            <v>13.5c</v>
          </cell>
          <cell r="B200" t="str">
            <v>c) Second  coat</v>
          </cell>
          <cell r="D200" t="str">
            <v>Painter</v>
          </cell>
          <cell r="E200">
            <v>0.04</v>
          </cell>
          <cell r="F200">
            <v>195</v>
          </cell>
          <cell r="G200">
            <v>7.8</v>
          </cell>
          <cell r="H200" t="str">
            <v>Enamel</v>
          </cell>
          <cell r="I200">
            <v>7.0000000000000007E-2</v>
          </cell>
          <cell r="J200" t="str">
            <v>ltr</v>
          </cell>
          <cell r="K200">
            <v>247.28</v>
          </cell>
          <cell r="L200">
            <v>17.309999999999999</v>
          </cell>
          <cell r="M200">
            <v>28.71</v>
          </cell>
          <cell r="N200">
            <v>4.3099999999999996</v>
          </cell>
          <cell r="O200">
            <v>33.020000000000003</v>
          </cell>
        </row>
        <row r="201">
          <cell r="D201" t="str">
            <v>Helper</v>
          </cell>
          <cell r="E201">
            <v>0.03</v>
          </cell>
          <cell r="F201">
            <v>120</v>
          </cell>
          <cell r="G201">
            <v>3.6</v>
          </cell>
        </row>
        <row r="202">
          <cell r="B202" t="str">
            <v>Bitumen painting for 1sqm</v>
          </cell>
        </row>
        <row r="203">
          <cell r="A203" t="str">
            <v>13.10a</v>
          </cell>
          <cell r="B203" t="str">
            <v>a) Single coat</v>
          </cell>
          <cell r="D203" t="str">
            <v>Painter</v>
          </cell>
          <cell r="E203">
            <v>1.4999999999999999E-2</v>
          </cell>
          <cell r="F203">
            <v>195</v>
          </cell>
          <cell r="G203">
            <v>2.93</v>
          </cell>
          <cell r="H203" t="str">
            <v>Bitumenpaint</v>
          </cell>
          <cell r="I203">
            <v>7.0000000000000007E-2</v>
          </cell>
          <cell r="J203" t="str">
            <v>lt</v>
          </cell>
          <cell r="K203">
            <v>31.68</v>
          </cell>
          <cell r="L203">
            <v>2.2200000000000002</v>
          </cell>
          <cell r="M203">
            <v>6.35</v>
          </cell>
          <cell r="N203">
            <v>0.95</v>
          </cell>
          <cell r="O203">
            <v>7.3</v>
          </cell>
        </row>
        <row r="204">
          <cell r="D204" t="str">
            <v>Helper</v>
          </cell>
          <cell r="E204">
            <v>0.01</v>
          </cell>
          <cell r="F204">
            <v>120</v>
          </cell>
          <cell r="G204">
            <v>1.2</v>
          </cell>
        </row>
        <row r="206">
          <cell r="A206" t="str">
            <v>13.10b</v>
          </cell>
          <cell r="B206" t="str">
            <v>b) Double coat</v>
          </cell>
          <cell r="D206" t="str">
            <v>Painter</v>
          </cell>
          <cell r="E206">
            <v>2.5000000000000001E-2</v>
          </cell>
          <cell r="F206">
            <v>195</v>
          </cell>
          <cell r="G206">
            <v>4.88</v>
          </cell>
          <cell r="H206" t="str">
            <v>Bitumenpaint</v>
          </cell>
          <cell r="I206">
            <v>0.12</v>
          </cell>
          <cell r="J206" t="str">
            <v>lt</v>
          </cell>
          <cell r="K206">
            <v>31.68</v>
          </cell>
          <cell r="L206">
            <v>3.8</v>
          </cell>
          <cell r="M206">
            <v>11.08</v>
          </cell>
          <cell r="N206">
            <v>1.66</v>
          </cell>
          <cell r="O206">
            <v>12.74</v>
          </cell>
        </row>
        <row r="207">
          <cell r="D207" t="str">
            <v>Helper</v>
          </cell>
          <cell r="E207">
            <v>0.02</v>
          </cell>
          <cell r="F207">
            <v>120</v>
          </cell>
          <cell r="G207">
            <v>2.4</v>
          </cell>
        </row>
        <row r="209">
          <cell r="B209" t="str">
            <v>Flushrule pointing on RR Masonry wall for 1sqm.</v>
          </cell>
        </row>
        <row r="210">
          <cell r="A210" t="str">
            <v>14.2a</v>
          </cell>
          <cell r="B210" t="str">
            <v>in (1:1) c/s mortar</v>
          </cell>
          <cell r="D210" t="str">
            <v>Mason</v>
          </cell>
          <cell r="E210">
            <v>0.1</v>
          </cell>
          <cell r="F210">
            <v>195</v>
          </cell>
          <cell r="G210">
            <v>19.5</v>
          </cell>
          <cell r="H210" t="str">
            <v>cement</v>
          </cell>
          <cell r="I210">
            <v>6.0000000000000001E-3</v>
          </cell>
          <cell r="J210" t="str">
            <v>mt</v>
          </cell>
          <cell r="K210">
            <v>8440</v>
          </cell>
          <cell r="L210">
            <v>50.64</v>
          </cell>
          <cell r="M210">
            <v>98.98</v>
          </cell>
          <cell r="N210">
            <v>14.85</v>
          </cell>
          <cell r="O210">
            <v>113.83</v>
          </cell>
        </row>
        <row r="211">
          <cell r="D211" t="str">
            <v>Labor</v>
          </cell>
          <cell r="E211">
            <v>0.14000000000000001</v>
          </cell>
          <cell r="F211">
            <v>120</v>
          </cell>
          <cell r="G211">
            <v>16.8</v>
          </cell>
          <cell r="H211" t="str">
            <v>sand</v>
          </cell>
          <cell r="I211">
            <v>4.0000000000000001E-3</v>
          </cell>
          <cell r="J211" t="str">
            <v>cu.m.</v>
          </cell>
          <cell r="K211">
            <v>3008.95</v>
          </cell>
          <cell r="L211">
            <v>12.04</v>
          </cell>
        </row>
        <row r="213">
          <cell r="A213" t="str">
            <v>14.2b</v>
          </cell>
          <cell r="B213" t="str">
            <v>in (1:2) c/s mortar</v>
          </cell>
          <cell r="D213" t="str">
            <v>Mason</v>
          </cell>
          <cell r="E213">
            <v>0.1</v>
          </cell>
          <cell r="F213">
            <v>195</v>
          </cell>
          <cell r="G213">
            <v>19.5</v>
          </cell>
          <cell r="H213" t="str">
            <v>cement</v>
          </cell>
          <cell r="I213">
            <v>4.0000000000000001E-3</v>
          </cell>
          <cell r="J213" t="str">
            <v>mt</v>
          </cell>
          <cell r="K213">
            <v>8440</v>
          </cell>
          <cell r="L213">
            <v>33.76</v>
          </cell>
          <cell r="M213">
            <v>88.11</v>
          </cell>
          <cell r="N213">
            <v>13.22</v>
          </cell>
          <cell r="O213">
            <v>101.33</v>
          </cell>
        </row>
        <row r="214">
          <cell r="D214" t="str">
            <v>Labor</v>
          </cell>
          <cell r="E214">
            <v>0.14000000000000001</v>
          </cell>
          <cell r="F214">
            <v>120</v>
          </cell>
          <cell r="G214">
            <v>16.8</v>
          </cell>
          <cell r="H214" t="str">
            <v>sand</v>
          </cell>
          <cell r="I214">
            <v>6.0000000000000001E-3</v>
          </cell>
          <cell r="J214" t="str">
            <v>cu.m.</v>
          </cell>
          <cell r="K214">
            <v>3008.95</v>
          </cell>
          <cell r="L214">
            <v>18.05</v>
          </cell>
        </row>
        <row r="216">
          <cell r="A216" t="str">
            <v>14.2c</v>
          </cell>
          <cell r="B216" t="str">
            <v>in (1:3) c/s mortar</v>
          </cell>
          <cell r="D216" t="str">
            <v>Mason</v>
          </cell>
          <cell r="E216">
            <v>0.1</v>
          </cell>
          <cell r="F216">
            <v>195</v>
          </cell>
          <cell r="G216">
            <v>19.5</v>
          </cell>
          <cell r="H216" t="str">
            <v>cement</v>
          </cell>
          <cell r="I216">
            <v>3.0000000000000001E-3</v>
          </cell>
          <cell r="J216" t="str">
            <v>mt</v>
          </cell>
          <cell r="K216">
            <v>8440</v>
          </cell>
          <cell r="L216">
            <v>25.32</v>
          </cell>
          <cell r="M216">
            <v>79.67</v>
          </cell>
          <cell r="N216">
            <v>11.95</v>
          </cell>
          <cell r="O216">
            <v>91.62</v>
          </cell>
        </row>
        <row r="217">
          <cell r="D217" t="str">
            <v>Labor</v>
          </cell>
          <cell r="E217">
            <v>0.14000000000000001</v>
          </cell>
          <cell r="F217">
            <v>120</v>
          </cell>
          <cell r="G217">
            <v>16.8</v>
          </cell>
          <cell r="H217" t="str">
            <v>sand</v>
          </cell>
          <cell r="I217">
            <v>6.0000000000000001E-3</v>
          </cell>
          <cell r="J217" t="str">
            <v>cu.m.</v>
          </cell>
          <cell r="K217">
            <v>3008.95</v>
          </cell>
          <cell r="L217">
            <v>18.05</v>
          </cell>
        </row>
        <row r="219">
          <cell r="A219" t="str">
            <v>16.1b</v>
          </cell>
          <cell r="B219" t="str">
            <v>Gabion making incl. cutting, netting hexagonal</v>
          </cell>
          <cell r="D219" t="str">
            <v>Skilled</v>
          </cell>
          <cell r="E219">
            <v>0.7</v>
          </cell>
          <cell r="F219">
            <v>195</v>
          </cell>
          <cell r="G219">
            <v>136.5</v>
          </cell>
          <cell r="H219" t="str">
            <v>GI wire 10 swg</v>
          </cell>
          <cell r="I219">
            <v>41.3</v>
          </cell>
          <cell r="J219" t="str">
            <v>kg</v>
          </cell>
          <cell r="K219">
            <v>54.4</v>
          </cell>
          <cell r="L219">
            <v>2246.7199999999998</v>
          </cell>
          <cell r="M219">
            <v>2639.86</v>
          </cell>
          <cell r="N219">
            <v>395.98</v>
          </cell>
          <cell r="O219">
            <v>3035.84</v>
          </cell>
        </row>
        <row r="220">
          <cell r="B220" t="str">
            <v>mesh size 80x100mm using mesh wire 10swg,</v>
          </cell>
          <cell r="D220" t="str">
            <v>Unskilled</v>
          </cell>
          <cell r="E220">
            <v>0.28000000000000003</v>
          </cell>
          <cell r="F220">
            <v>120</v>
          </cell>
          <cell r="G220">
            <v>33.6</v>
          </cell>
          <cell r="H220" t="str">
            <v>Selvage wire 7 swg</v>
          </cell>
          <cell r="I220">
            <v>4.0999999999999996</v>
          </cell>
          <cell r="J220" t="str">
            <v>kg</v>
          </cell>
          <cell r="K220">
            <v>54.4</v>
          </cell>
          <cell r="L220">
            <v>223.04</v>
          </cell>
        </row>
        <row r="221">
          <cell r="B221" t="str">
            <v>selvage wire 7 swg for box size (3x1x1)m</v>
          </cell>
        </row>
        <row r="223">
          <cell r="A223" t="str">
            <v>16.6b</v>
          </cell>
          <cell r="B223" t="str">
            <v>Gabion box placing, stretching, binding &amp;</v>
          </cell>
          <cell r="D223" t="str">
            <v>Unskilled</v>
          </cell>
          <cell r="E223">
            <v>0.6</v>
          </cell>
          <cell r="F223">
            <v>120</v>
          </cell>
          <cell r="G223">
            <v>72</v>
          </cell>
          <cell r="H223" t="str">
            <v>GI plain wire 12 swg</v>
          </cell>
          <cell r="I223">
            <v>1.3</v>
          </cell>
          <cell r="J223" t="str">
            <v>kg</v>
          </cell>
          <cell r="K223">
            <v>54.4</v>
          </cell>
          <cell r="L223">
            <v>70.72</v>
          </cell>
          <cell r="M223">
            <v>142.72</v>
          </cell>
          <cell r="N223">
            <v>21.41</v>
          </cell>
          <cell r="O223">
            <v>164.13</v>
          </cell>
        </row>
        <row r="224">
          <cell r="B224" t="str">
            <v>closing from top for box size (3x1x1)</v>
          </cell>
        </row>
        <row r="226">
          <cell r="A226" t="str">
            <v>16.5f</v>
          </cell>
          <cell r="B226" t="str">
            <v>Gabion making incl. cutting, netting hexagonal</v>
          </cell>
          <cell r="D226" t="str">
            <v>Skilled</v>
          </cell>
          <cell r="E226">
            <v>0.37</v>
          </cell>
          <cell r="F226">
            <v>195</v>
          </cell>
          <cell r="G226">
            <v>72.150000000000006</v>
          </cell>
          <cell r="H226" t="str">
            <v>GI wire 10 swg</v>
          </cell>
          <cell r="I226">
            <v>19.75</v>
          </cell>
          <cell r="J226" t="str">
            <v>kg</v>
          </cell>
          <cell r="K226">
            <v>37.380000000000003</v>
          </cell>
          <cell r="L226">
            <v>738.26</v>
          </cell>
          <cell r="M226">
            <v>942.95</v>
          </cell>
          <cell r="N226">
            <v>141.44</v>
          </cell>
          <cell r="O226">
            <v>1084.3900000000001</v>
          </cell>
        </row>
        <row r="227">
          <cell r="B227" t="str">
            <v>mesh size 100x120 using mesh wire 10swg,</v>
          </cell>
          <cell r="D227" t="str">
            <v>Unskilled</v>
          </cell>
          <cell r="E227">
            <v>0.17</v>
          </cell>
          <cell r="F227">
            <v>120</v>
          </cell>
          <cell r="G227">
            <v>20.399999999999999</v>
          </cell>
          <cell r="H227" t="str">
            <v>Selvage wire 7 swg</v>
          </cell>
          <cell r="I227">
            <v>3</v>
          </cell>
          <cell r="J227" t="str">
            <v>kg</v>
          </cell>
          <cell r="K227">
            <v>37.380000000000003</v>
          </cell>
          <cell r="L227">
            <v>112.14</v>
          </cell>
        </row>
        <row r="228">
          <cell r="B228" t="str">
            <v>selvage wire 7 swg for box size (3x1x0.3)m</v>
          </cell>
        </row>
        <row r="230">
          <cell r="A230" t="str">
            <v>16.8f</v>
          </cell>
          <cell r="B230" t="str">
            <v>Gabion box placing, stretching, binding &amp;</v>
          </cell>
          <cell r="D230" t="str">
            <v>Unskilled</v>
          </cell>
          <cell r="E230">
            <v>0.18</v>
          </cell>
          <cell r="F230">
            <v>120</v>
          </cell>
          <cell r="G230">
            <v>21.6</v>
          </cell>
          <cell r="H230" t="str">
            <v>GI plain wire 12 swg</v>
          </cell>
          <cell r="I230">
            <v>0.7</v>
          </cell>
          <cell r="J230" t="str">
            <v>kg</v>
          </cell>
          <cell r="K230">
            <v>37.380000000000003</v>
          </cell>
          <cell r="L230">
            <v>26.17</v>
          </cell>
          <cell r="M230">
            <v>47.77</v>
          </cell>
          <cell r="N230">
            <v>7.17</v>
          </cell>
          <cell r="O230">
            <v>54.94</v>
          </cell>
        </row>
        <row r="231">
          <cell r="B231" t="str">
            <v>closing from top for box size (3x1x0.3)</v>
          </cell>
        </row>
        <row r="233">
          <cell r="A233">
            <v>16.11</v>
          </cell>
          <cell r="B233" t="str">
            <v>Stone filling in gabion box for 1cum.</v>
          </cell>
          <cell r="D233" t="str">
            <v>Unskilled</v>
          </cell>
          <cell r="E233">
            <v>0.5</v>
          </cell>
          <cell r="F233">
            <v>120</v>
          </cell>
          <cell r="G233">
            <v>60</v>
          </cell>
          <cell r="H233" t="str">
            <v>Boulder stone</v>
          </cell>
          <cell r="I233">
            <v>1</v>
          </cell>
          <cell r="J233" t="str">
            <v>cum</v>
          </cell>
          <cell r="K233">
            <v>608</v>
          </cell>
          <cell r="L233">
            <v>608</v>
          </cell>
          <cell r="M233">
            <v>668</v>
          </cell>
          <cell r="N233">
            <v>100.2</v>
          </cell>
          <cell r="O233">
            <v>768.2</v>
          </cell>
        </row>
        <row r="235">
          <cell r="B235" t="str">
            <v>Laying and jointing (butweld) of HDPE pipes</v>
          </cell>
        </row>
        <row r="236">
          <cell r="B236" t="str">
            <v>for 1 m length</v>
          </cell>
        </row>
        <row r="237">
          <cell r="A237" t="str">
            <v>17.2a</v>
          </cell>
          <cell r="B237" t="str">
            <v>20 mm 25 mm OD. Pipe</v>
          </cell>
          <cell r="D237" t="str">
            <v>Plumber</v>
          </cell>
          <cell r="E237">
            <v>1E-3</v>
          </cell>
          <cell r="F237">
            <v>195</v>
          </cell>
          <cell r="G237">
            <v>0.2</v>
          </cell>
          <cell r="H237" t="str">
            <v xml:space="preserve"> Tools</v>
          </cell>
          <cell r="I237">
            <v>1E-3</v>
          </cell>
          <cell r="J237" t="str">
            <v>day</v>
          </cell>
          <cell r="K237">
            <v>50</v>
          </cell>
          <cell r="L237">
            <v>0.05</v>
          </cell>
          <cell r="M237">
            <v>0.63</v>
          </cell>
          <cell r="N237">
            <v>0.09</v>
          </cell>
          <cell r="O237">
            <v>0.72</v>
          </cell>
        </row>
        <row r="238">
          <cell r="D238" t="str">
            <v>Helper</v>
          </cell>
          <cell r="E238">
            <v>1E-3</v>
          </cell>
          <cell r="F238">
            <v>115</v>
          </cell>
          <cell r="G238">
            <v>0.12</v>
          </cell>
          <cell r="H238" t="str">
            <v>fuel</v>
          </cell>
          <cell r="I238">
            <v>2.5000000000000001E-4</v>
          </cell>
          <cell r="J238" t="str">
            <v>ltr</v>
          </cell>
          <cell r="K238">
            <v>55.52</v>
          </cell>
          <cell r="L238">
            <v>0.01</v>
          </cell>
        </row>
        <row r="239">
          <cell r="D239" t="str">
            <v>Labour</v>
          </cell>
          <cell r="E239">
            <v>2E-3</v>
          </cell>
          <cell r="F239">
            <v>120</v>
          </cell>
          <cell r="G239">
            <v>0.24</v>
          </cell>
          <cell r="H239" t="str">
            <v>Miscel. Expenses</v>
          </cell>
          <cell r="I239" t="str">
            <v>2.5% of lab</v>
          </cell>
          <cell r="L239">
            <v>0.01</v>
          </cell>
        </row>
        <row r="241">
          <cell r="A241" t="str">
            <v>17.2b</v>
          </cell>
          <cell r="B241" t="str">
            <v>32 mm OD Pipe</v>
          </cell>
          <cell r="D241" t="str">
            <v>Plumber</v>
          </cell>
          <cell r="E241">
            <v>1E-3</v>
          </cell>
          <cell r="F241">
            <v>195</v>
          </cell>
          <cell r="G241">
            <v>0.2</v>
          </cell>
          <cell r="H241" t="str">
            <v xml:space="preserve"> Tools</v>
          </cell>
          <cell r="I241">
            <v>1E-3</v>
          </cell>
          <cell r="J241" t="str">
            <v>day</v>
          </cell>
          <cell r="K241">
            <v>50</v>
          </cell>
          <cell r="L241">
            <v>0.05</v>
          </cell>
          <cell r="M241">
            <v>0.77</v>
          </cell>
          <cell r="N241">
            <v>0.12</v>
          </cell>
          <cell r="O241">
            <v>0.89</v>
          </cell>
        </row>
        <row r="242">
          <cell r="D242" t="str">
            <v>Helper</v>
          </cell>
          <cell r="E242">
            <v>1E-3</v>
          </cell>
          <cell r="F242">
            <v>115</v>
          </cell>
          <cell r="G242">
            <v>0.12</v>
          </cell>
          <cell r="H242" t="str">
            <v>fuel</v>
          </cell>
          <cell r="I242">
            <v>2.9999999999999997E-4</v>
          </cell>
          <cell r="J242" t="str">
            <v>ltr</v>
          </cell>
          <cell r="K242">
            <v>55.52</v>
          </cell>
          <cell r="L242">
            <v>0.02</v>
          </cell>
        </row>
        <row r="243">
          <cell r="D243" t="str">
            <v>Labour</v>
          </cell>
          <cell r="E243">
            <v>3.0000000000000001E-3</v>
          </cell>
          <cell r="F243">
            <v>120</v>
          </cell>
          <cell r="G243">
            <v>0.36</v>
          </cell>
          <cell r="H243" t="str">
            <v>Miscel. Expenses</v>
          </cell>
          <cell r="I243" t="str">
            <v>2.5% of lab</v>
          </cell>
          <cell r="L243">
            <v>0.02</v>
          </cell>
        </row>
        <row r="244">
          <cell r="G244">
            <v>0.68</v>
          </cell>
        </row>
        <row r="245">
          <cell r="A245" t="str">
            <v>17.2c</v>
          </cell>
          <cell r="B245" t="str">
            <v>40 &amp; 50 mm OD Pipe</v>
          </cell>
          <cell r="D245" t="str">
            <v>Plumber</v>
          </cell>
          <cell r="E245">
            <v>2E-3</v>
          </cell>
          <cell r="F245">
            <v>195</v>
          </cell>
          <cell r="G245">
            <v>0.39</v>
          </cell>
          <cell r="H245" t="str">
            <v xml:space="preserve"> Tools</v>
          </cell>
          <cell r="I245">
            <v>1E-3</v>
          </cell>
          <cell r="J245" t="str">
            <v>day</v>
          </cell>
          <cell r="K245">
            <v>50</v>
          </cell>
          <cell r="L245">
            <v>0.05</v>
          </cell>
          <cell r="M245">
            <v>1.07</v>
          </cell>
          <cell r="N245">
            <v>0.16</v>
          </cell>
          <cell r="O245">
            <v>1.23</v>
          </cell>
        </row>
        <row r="246">
          <cell r="D246" t="str">
            <v>Helper</v>
          </cell>
          <cell r="E246">
            <v>2E-3</v>
          </cell>
          <cell r="F246">
            <v>115</v>
          </cell>
          <cell r="G246">
            <v>0.23</v>
          </cell>
          <cell r="H246" t="str">
            <v>fuel</v>
          </cell>
          <cell r="I246">
            <v>4.0000000000000002E-4</v>
          </cell>
          <cell r="J246" t="str">
            <v>ltr</v>
          </cell>
          <cell r="K246">
            <v>55.52</v>
          </cell>
          <cell r="L246">
            <v>0.02</v>
          </cell>
        </row>
        <row r="247">
          <cell r="D247" t="str">
            <v>Labour</v>
          </cell>
          <cell r="E247">
            <v>3.0000000000000001E-3</v>
          </cell>
          <cell r="F247">
            <v>120</v>
          </cell>
          <cell r="G247">
            <v>0.36</v>
          </cell>
          <cell r="H247" t="str">
            <v>Miscel. Expenses</v>
          </cell>
          <cell r="I247" t="str">
            <v>2.5% of lab</v>
          </cell>
          <cell r="L247">
            <v>0.02</v>
          </cell>
        </row>
        <row r="248">
          <cell r="G248">
            <v>0.98</v>
          </cell>
        </row>
        <row r="249">
          <cell r="A249" t="str">
            <v>17.2d</v>
          </cell>
          <cell r="B249" t="str">
            <v>63-90mm OD Pipe</v>
          </cell>
          <cell r="D249" t="str">
            <v>Plumber</v>
          </cell>
          <cell r="E249">
            <v>0.02</v>
          </cell>
          <cell r="F249">
            <v>195</v>
          </cell>
          <cell r="G249">
            <v>3.9</v>
          </cell>
          <cell r="H249" t="str">
            <v xml:space="preserve"> Tools</v>
          </cell>
          <cell r="I249">
            <v>0.01</v>
          </cell>
          <cell r="J249" t="str">
            <v>day</v>
          </cell>
          <cell r="K249">
            <v>50</v>
          </cell>
          <cell r="L249">
            <v>0.5</v>
          </cell>
          <cell r="M249">
            <v>12.34</v>
          </cell>
          <cell r="N249">
            <v>1.85</v>
          </cell>
          <cell r="O249">
            <v>14.19</v>
          </cell>
        </row>
        <row r="250">
          <cell r="D250" t="str">
            <v>Helper</v>
          </cell>
          <cell r="E250">
            <v>0.02</v>
          </cell>
          <cell r="F250">
            <v>115</v>
          </cell>
          <cell r="G250">
            <v>2.2999999999999998</v>
          </cell>
          <cell r="H250" t="str">
            <v>fuel</v>
          </cell>
          <cell r="I250">
            <v>0.01</v>
          </cell>
          <cell r="J250" t="str">
            <v>ltr</v>
          </cell>
          <cell r="K250">
            <v>55.52</v>
          </cell>
          <cell r="L250">
            <v>0.56000000000000005</v>
          </cell>
        </row>
        <row r="251">
          <cell r="D251" t="str">
            <v>Labour</v>
          </cell>
          <cell r="E251">
            <v>0.04</v>
          </cell>
          <cell r="F251">
            <v>120</v>
          </cell>
          <cell r="G251">
            <v>4.8</v>
          </cell>
          <cell r="H251" t="str">
            <v>Miscel. Expenses</v>
          </cell>
          <cell r="I251" t="str">
            <v>2.5% of lab</v>
          </cell>
          <cell r="L251">
            <v>0.28000000000000003</v>
          </cell>
        </row>
        <row r="252">
          <cell r="G252">
            <v>11</v>
          </cell>
        </row>
        <row r="253">
          <cell r="A253" t="str">
            <v>17-4a</v>
          </cell>
          <cell r="B253" t="str">
            <v>GI pipe laying including lead 500m</v>
          </cell>
        </row>
        <row r="254">
          <cell r="A254" t="str">
            <v>17.4a1</v>
          </cell>
          <cell r="B254" t="str">
            <v>1/2" &amp; 3/4"  I.D.</v>
          </cell>
          <cell r="D254" t="str">
            <v>Plumber</v>
          </cell>
          <cell r="E254">
            <v>1.7000000000000001E-2</v>
          </cell>
          <cell r="F254">
            <v>195</v>
          </cell>
          <cell r="G254">
            <v>3.32</v>
          </cell>
          <cell r="H254" t="str">
            <v>Read lead, hemp etc.</v>
          </cell>
          <cell r="L254">
            <v>1.1100000000000001</v>
          </cell>
          <cell r="M254">
            <v>12.47</v>
          </cell>
          <cell r="N254">
            <v>1.87</v>
          </cell>
          <cell r="O254">
            <v>14.34</v>
          </cell>
        </row>
        <row r="255">
          <cell r="D255" t="str">
            <v>Helper</v>
          </cell>
          <cell r="E255">
            <v>3.3000000000000002E-2</v>
          </cell>
          <cell r="F255">
            <v>115</v>
          </cell>
          <cell r="G255">
            <v>3.8</v>
          </cell>
          <cell r="H255" t="str">
            <v>@10% of labour cost</v>
          </cell>
        </row>
        <row r="256">
          <cell r="D256" t="str">
            <v>Labour</v>
          </cell>
          <cell r="E256">
            <v>3.3000000000000002E-2</v>
          </cell>
          <cell r="F256">
            <v>120</v>
          </cell>
          <cell r="G256">
            <v>3.96</v>
          </cell>
          <cell r="H256" t="str">
            <v>cont. 2.5 % of cost</v>
          </cell>
          <cell r="L256">
            <v>0.28000000000000003</v>
          </cell>
        </row>
        <row r="258">
          <cell r="A258" t="str">
            <v>17.4a2</v>
          </cell>
          <cell r="B258" t="str">
            <v>1" &amp; 1 1/4" ID pipes</v>
          </cell>
          <cell r="D258" t="str">
            <v>Plumber</v>
          </cell>
          <cell r="E258">
            <v>1.7000000000000001E-2</v>
          </cell>
          <cell r="F258">
            <v>195</v>
          </cell>
          <cell r="G258">
            <v>3.32</v>
          </cell>
          <cell r="H258" t="str">
            <v>Read lead, hemp etc.</v>
          </cell>
          <cell r="L258">
            <v>1.51</v>
          </cell>
          <cell r="M258">
            <v>16.96</v>
          </cell>
          <cell r="N258">
            <v>2.54</v>
          </cell>
          <cell r="O258">
            <v>19.5</v>
          </cell>
        </row>
        <row r="259">
          <cell r="D259" t="str">
            <v>Helper</v>
          </cell>
          <cell r="E259">
            <v>0.05</v>
          </cell>
          <cell r="F259">
            <v>115</v>
          </cell>
          <cell r="G259">
            <v>5.75</v>
          </cell>
          <cell r="H259" t="str">
            <v>@10% of labour cost</v>
          </cell>
        </row>
        <row r="260">
          <cell r="D260" t="str">
            <v>Labour</v>
          </cell>
          <cell r="E260">
            <v>0.05</v>
          </cell>
          <cell r="F260">
            <v>120</v>
          </cell>
          <cell r="G260">
            <v>6</v>
          </cell>
          <cell r="H260" t="str">
            <v>cont. 2.5 % of cost</v>
          </cell>
          <cell r="L260">
            <v>0.38</v>
          </cell>
        </row>
        <row r="262">
          <cell r="A262" t="str">
            <v>17.4a3</v>
          </cell>
          <cell r="B262" t="str">
            <v>1 1/2" &amp; 2" ID pipes</v>
          </cell>
          <cell r="D262" t="str">
            <v>Plumber</v>
          </cell>
          <cell r="E262">
            <v>2.5000000000000001E-2</v>
          </cell>
          <cell r="F262">
            <v>195</v>
          </cell>
          <cell r="G262">
            <v>4.88</v>
          </cell>
          <cell r="H262" t="str">
            <v>Read lead, hemp etc.</v>
          </cell>
          <cell r="L262">
            <v>2.06</v>
          </cell>
          <cell r="M262">
            <v>23.12</v>
          </cell>
          <cell r="N262">
            <v>3.47</v>
          </cell>
          <cell r="O262">
            <v>26.59</v>
          </cell>
        </row>
        <row r="263">
          <cell r="D263" t="str">
            <v>Helper</v>
          </cell>
          <cell r="E263">
            <v>6.6666666666666693E-2</v>
          </cell>
          <cell r="F263">
            <v>115</v>
          </cell>
          <cell r="G263">
            <v>7.67</v>
          </cell>
          <cell r="H263" t="str">
            <v>@10% of labour cost</v>
          </cell>
        </row>
        <row r="264">
          <cell r="D264" t="str">
            <v>Labour</v>
          </cell>
          <cell r="E264">
            <v>6.6666666666666693E-2</v>
          </cell>
          <cell r="F264">
            <v>120</v>
          </cell>
          <cell r="G264">
            <v>8</v>
          </cell>
          <cell r="H264" t="str">
            <v>cont. 2.5 % of cost</v>
          </cell>
          <cell r="L264">
            <v>0.51</v>
          </cell>
        </row>
        <row r="266">
          <cell r="A266" t="str">
            <v>17.4a4</v>
          </cell>
          <cell r="B266" t="str">
            <v>2 1/2" &amp; 3"  I.D.</v>
          </cell>
          <cell r="D266" t="str">
            <v>Plumber</v>
          </cell>
          <cell r="E266">
            <v>4.1666666666666699E-2</v>
          </cell>
          <cell r="F266">
            <v>195</v>
          </cell>
          <cell r="G266">
            <v>8.1300000000000008</v>
          </cell>
          <cell r="H266" t="str">
            <v>Read lead, hemp etc.</v>
          </cell>
          <cell r="L266">
            <v>2.78</v>
          </cell>
          <cell r="M266">
            <v>31.28</v>
          </cell>
          <cell r="N266">
            <v>4.6900000000000004</v>
          </cell>
          <cell r="O266">
            <v>35.97</v>
          </cell>
        </row>
        <row r="267">
          <cell r="D267" t="str">
            <v>Helper</v>
          </cell>
          <cell r="E267">
            <v>6.6666666666666693E-2</v>
          </cell>
          <cell r="F267">
            <v>115</v>
          </cell>
          <cell r="G267">
            <v>7.67</v>
          </cell>
          <cell r="H267" t="str">
            <v>@10% of labour cost</v>
          </cell>
        </row>
        <row r="268">
          <cell r="D268" t="str">
            <v>Labour</v>
          </cell>
          <cell r="E268">
            <v>0.1</v>
          </cell>
          <cell r="F268">
            <v>120</v>
          </cell>
          <cell r="G268">
            <v>12</v>
          </cell>
          <cell r="H268" t="str">
            <v>cont. 2.5 % of cost</v>
          </cell>
          <cell r="L268">
            <v>0.7</v>
          </cell>
        </row>
        <row r="269">
          <cell r="A269" t="str">
            <v>17.4a5</v>
          </cell>
          <cell r="B269" t="str">
            <v>4"  ID pipes</v>
          </cell>
          <cell r="D269" t="str">
            <v>Plumber</v>
          </cell>
          <cell r="E269">
            <v>5.83333333333333E-2</v>
          </cell>
          <cell r="F269">
            <v>195</v>
          </cell>
          <cell r="G269">
            <v>11.38</v>
          </cell>
          <cell r="H269" t="str">
            <v>Read lead, hemp etc.</v>
          </cell>
          <cell r="L269">
            <v>3.51</v>
          </cell>
          <cell r="M269">
            <v>39.44</v>
          </cell>
          <cell r="N269">
            <v>5.92</v>
          </cell>
          <cell r="O269">
            <v>45.36</v>
          </cell>
        </row>
        <row r="270">
          <cell r="D270" t="str">
            <v>Helper</v>
          </cell>
          <cell r="E270">
            <v>6.6666666666666693E-2</v>
          </cell>
          <cell r="F270">
            <v>115</v>
          </cell>
          <cell r="G270">
            <v>7.67</v>
          </cell>
          <cell r="H270" t="str">
            <v>@10% of labour cost</v>
          </cell>
        </row>
        <row r="271">
          <cell r="D271" t="str">
            <v>Labour</v>
          </cell>
          <cell r="E271">
            <v>0.133333333333333</v>
          </cell>
          <cell r="F271">
            <v>120</v>
          </cell>
          <cell r="G271">
            <v>16</v>
          </cell>
          <cell r="H271" t="str">
            <v>cont. 2.5 % of cost</v>
          </cell>
          <cell r="L271">
            <v>0.88</v>
          </cell>
        </row>
        <row r="273">
          <cell r="A273" t="str">
            <v>17.4a6</v>
          </cell>
          <cell r="B273" t="str">
            <v>5"  ID pipes</v>
          </cell>
          <cell r="D273" t="str">
            <v>Plumber</v>
          </cell>
          <cell r="E273">
            <v>6.6666666666666693E-2</v>
          </cell>
          <cell r="F273">
            <v>195</v>
          </cell>
          <cell r="G273">
            <v>13</v>
          </cell>
          <cell r="H273" t="str">
            <v>Read lead, hemp etc.</v>
          </cell>
          <cell r="L273">
            <v>4.26</v>
          </cell>
          <cell r="M273">
            <v>47.9</v>
          </cell>
          <cell r="N273">
            <v>7.19</v>
          </cell>
          <cell r="O273">
            <v>55.09</v>
          </cell>
        </row>
        <row r="274">
          <cell r="D274" t="str">
            <v>Helper</v>
          </cell>
          <cell r="E274">
            <v>8.3333333333333301E-2</v>
          </cell>
          <cell r="F274">
            <v>115</v>
          </cell>
          <cell r="G274">
            <v>9.58</v>
          </cell>
          <cell r="H274" t="str">
            <v>@10% of labour cost</v>
          </cell>
        </row>
        <row r="275">
          <cell r="D275" t="str">
            <v>Labour</v>
          </cell>
          <cell r="E275">
            <v>0.16666666666666699</v>
          </cell>
          <cell r="F275">
            <v>120</v>
          </cell>
          <cell r="G275">
            <v>20</v>
          </cell>
          <cell r="H275" t="str">
            <v>cont. 2.5 % of cost</v>
          </cell>
          <cell r="L275">
            <v>1.06</v>
          </cell>
        </row>
        <row r="276">
          <cell r="A276">
            <v>18.11</v>
          </cell>
          <cell r="B276" t="str">
            <v>Laying polythene sheet 500swg on and</v>
          </cell>
          <cell r="D276" t="str">
            <v>Skilled</v>
          </cell>
          <cell r="E276">
            <v>0.06</v>
          </cell>
          <cell r="F276">
            <v>195</v>
          </cell>
          <cell r="G276">
            <v>11.7</v>
          </cell>
          <cell r="H276" t="str">
            <v>Polysheet 500swg</v>
          </cell>
          <cell r="I276">
            <v>1.1000000000000001</v>
          </cell>
          <cell r="J276" t="str">
            <v>sqm</v>
          </cell>
          <cell r="K276">
            <v>10</v>
          </cell>
          <cell r="L276">
            <v>11</v>
          </cell>
          <cell r="M276">
            <v>29.9</v>
          </cell>
          <cell r="N276">
            <v>4.49</v>
          </cell>
          <cell r="O276">
            <v>34.39</v>
          </cell>
        </row>
        <row r="277">
          <cell r="B277" t="str">
            <v>around foundation  for 1sqm.</v>
          </cell>
          <cell r="D277" t="str">
            <v>Labor</v>
          </cell>
          <cell r="E277">
            <v>0.06</v>
          </cell>
          <cell r="F277">
            <v>120</v>
          </cell>
          <cell r="G277">
            <v>7.2</v>
          </cell>
        </row>
        <row r="279">
          <cell r="A279">
            <v>21.1</v>
          </cell>
          <cell r="B279" t="str">
            <v>Formworks for ferrocement works for 1sqm.</v>
          </cell>
          <cell r="D279" t="str">
            <v>Mason</v>
          </cell>
          <cell r="E279">
            <v>0.17</v>
          </cell>
          <cell r="F279">
            <v>195</v>
          </cell>
          <cell r="G279">
            <v>33.15</v>
          </cell>
          <cell r="H279" t="str">
            <v>Bamboo</v>
          </cell>
          <cell r="I279">
            <v>0.33300000000000002</v>
          </cell>
          <cell r="J279" t="str">
            <v>nos</v>
          </cell>
          <cell r="K279">
            <v>100</v>
          </cell>
          <cell r="L279">
            <v>33.299999999999997</v>
          </cell>
          <cell r="M279">
            <v>85.59</v>
          </cell>
          <cell r="N279">
            <v>12.84</v>
          </cell>
          <cell r="O279">
            <v>98.43</v>
          </cell>
        </row>
        <row r="280">
          <cell r="D280" t="str">
            <v>Coolies</v>
          </cell>
          <cell r="E280">
            <v>0.11</v>
          </cell>
          <cell r="F280">
            <v>120</v>
          </cell>
          <cell r="G280">
            <v>13.2</v>
          </cell>
          <cell r="H280" t="str">
            <v>Nails</v>
          </cell>
          <cell r="I280">
            <v>1.4E-2</v>
          </cell>
          <cell r="J280" t="str">
            <v>kg</v>
          </cell>
          <cell r="K280">
            <v>56.9</v>
          </cell>
          <cell r="L280">
            <v>0.8</v>
          </cell>
        </row>
        <row r="281">
          <cell r="H281" t="str">
            <v>Binding wire</v>
          </cell>
          <cell r="I281">
            <v>8.3000000000000004E-2</v>
          </cell>
          <cell r="J281" t="str">
            <v>kg</v>
          </cell>
          <cell r="K281">
            <v>61.9</v>
          </cell>
          <cell r="L281">
            <v>5.14</v>
          </cell>
        </row>
        <row r="283">
          <cell r="A283">
            <v>21.2</v>
          </cell>
          <cell r="B283" t="str">
            <v>Reinforcement for ferrocement work including</v>
          </cell>
          <cell r="D283" t="str">
            <v>Mason</v>
          </cell>
          <cell r="E283">
            <v>0.25</v>
          </cell>
          <cell r="F283">
            <v>195</v>
          </cell>
          <cell r="G283">
            <v>48.75</v>
          </cell>
          <cell r="H283" t="str">
            <v>Binding wire</v>
          </cell>
          <cell r="I283">
            <v>0.111</v>
          </cell>
          <cell r="J283" t="str">
            <v>kg</v>
          </cell>
          <cell r="K283">
            <v>61.9</v>
          </cell>
          <cell r="L283">
            <v>6.87</v>
          </cell>
          <cell r="M283">
            <v>390.5</v>
          </cell>
          <cell r="N283">
            <v>58.58</v>
          </cell>
          <cell r="O283">
            <v>449.08</v>
          </cell>
        </row>
        <row r="284">
          <cell r="B284" t="str">
            <v>chickenwire mesh M.S. Rods GI wire</v>
          </cell>
          <cell r="D284" t="str">
            <v>Coolies</v>
          </cell>
          <cell r="E284">
            <v>8.3000000000000004E-2</v>
          </cell>
          <cell r="F284">
            <v>120</v>
          </cell>
          <cell r="G284">
            <v>9.9600000000000009</v>
          </cell>
          <cell r="H284" t="str">
            <v>Steel bar</v>
          </cell>
          <cell r="I284">
            <v>2.593</v>
          </cell>
          <cell r="J284" t="str">
            <v>kg</v>
          </cell>
          <cell r="K284">
            <v>39.15</v>
          </cell>
          <cell r="L284">
            <v>101.52</v>
          </cell>
        </row>
        <row r="285">
          <cell r="H285" t="str">
            <v>Chiken wire</v>
          </cell>
          <cell r="I285">
            <v>1.806</v>
          </cell>
          <cell r="J285" t="str">
            <v>sqm</v>
          </cell>
          <cell r="K285">
            <v>60.95</v>
          </cell>
          <cell r="L285">
            <v>110.08</v>
          </cell>
        </row>
        <row r="286">
          <cell r="H286" t="str">
            <v>GI Plain wire, 9swg</v>
          </cell>
          <cell r="I286">
            <v>2.0830000000000002</v>
          </cell>
          <cell r="J286" t="str">
            <v>kg</v>
          </cell>
          <cell r="K286">
            <v>54.4</v>
          </cell>
          <cell r="L286">
            <v>113.32</v>
          </cell>
        </row>
        <row r="287">
          <cell r="A287">
            <v>24.3</v>
          </cell>
          <cell r="B287" t="str">
            <v>Preparation &amp; fixing of iron gate, including</v>
          </cell>
        </row>
        <row r="288">
          <cell r="B288" t="str">
            <v>painting and laborer cost for  1sqm.</v>
          </cell>
          <cell r="D288" t="str">
            <v>Mason</v>
          </cell>
          <cell r="E288">
            <v>0.25</v>
          </cell>
          <cell r="F288">
            <v>195</v>
          </cell>
          <cell r="G288">
            <v>48.75</v>
          </cell>
          <cell r="H288" t="str">
            <v>Binding wire</v>
          </cell>
          <cell r="I288">
            <v>0.111</v>
          </cell>
          <cell r="J288" t="str">
            <v>kg</v>
          </cell>
          <cell r="K288">
            <v>61.9</v>
          </cell>
          <cell r="L288">
            <v>6.87</v>
          </cell>
        </row>
        <row r="289">
          <cell r="A289">
            <v>24.7</v>
          </cell>
          <cell r="B289" t="str">
            <v>Barbed wire fencing work for 1m</v>
          </cell>
          <cell r="D289" t="str">
            <v>Mason</v>
          </cell>
          <cell r="E289">
            <v>1.0800000000000001E-2</v>
          </cell>
          <cell r="F289">
            <v>195</v>
          </cell>
          <cell r="G289">
            <v>2.11</v>
          </cell>
          <cell r="H289" t="str">
            <v>Barbed wire</v>
          </cell>
          <cell r="I289">
            <v>0.18</v>
          </cell>
          <cell r="J289" t="str">
            <v>kg</v>
          </cell>
          <cell r="K289">
            <v>55.9</v>
          </cell>
          <cell r="L289">
            <v>10.06</v>
          </cell>
          <cell r="M289">
            <v>20.63</v>
          </cell>
          <cell r="N289">
            <v>3.09</v>
          </cell>
          <cell r="O289">
            <v>23.72</v>
          </cell>
        </row>
        <row r="290">
          <cell r="B290" t="str">
            <v>fencing length</v>
          </cell>
          <cell r="D290" t="str">
            <v>Labour</v>
          </cell>
          <cell r="E290">
            <v>5.3800000000000001E-2</v>
          </cell>
          <cell r="F290">
            <v>120</v>
          </cell>
          <cell r="G290">
            <v>6.46</v>
          </cell>
          <cell r="H290" t="str">
            <v>u-hook</v>
          </cell>
          <cell r="I290">
            <v>0.66700000000000004</v>
          </cell>
          <cell r="J290" t="str">
            <v>no</v>
          </cell>
          <cell r="K290">
            <v>3</v>
          </cell>
          <cell r="L290">
            <v>2</v>
          </cell>
        </row>
        <row r="291">
          <cell r="B291" t="str">
            <v>( Poles and Gates estimated seperately )</v>
          </cell>
        </row>
      </sheetData>
      <sheetData sheetId="35" refreshError="1"/>
      <sheetData sheetId="3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tract"/>
      <sheetName val="ticket counter"/>
      <sheetName val="analysis"/>
      <sheetName val="model house"/>
    </sheetNames>
    <sheetDataSet>
      <sheetData sheetId="0" refreshError="1"/>
      <sheetData sheetId="1" refreshError="1">
        <row r="12">
          <cell r="B12" t="str">
            <v>1.1.1</v>
          </cell>
          <cell r="C12" t="str">
            <v>Clearing the site of all the vegetation, roots and other unuseful materials including excavation of top soil to a depth of 15 cm, removing bushes, trees and leveling the Site for stacking the useful items in specified space and disposing other item before</v>
          </cell>
          <cell r="D12">
            <v>1</v>
          </cell>
          <cell r="I12">
            <v>1</v>
          </cell>
          <cell r="J12" t="str">
            <v>Job</v>
          </cell>
        </row>
        <row r="14">
          <cell r="B14" t="str">
            <v>1.1.2</v>
          </cell>
          <cell r="C14" t="str">
            <v>Clearing the site of all the  unuseful materials including removing all them from site and leveling the Site after completing the works as per instruction of the site engineer all complete.</v>
          </cell>
          <cell r="D14">
            <v>1</v>
          </cell>
          <cell r="I14">
            <v>1</v>
          </cell>
          <cell r="J14" t="str">
            <v>Job</v>
          </cell>
        </row>
        <row r="16">
          <cell r="C16" t="str">
            <v>E/W in  excavation in foundation  -</v>
          </cell>
        </row>
        <row r="17">
          <cell r="C17" t="str">
            <v>wall foundation -</v>
          </cell>
        </row>
        <row r="18">
          <cell r="C18" t="str">
            <v>Long wall</v>
          </cell>
          <cell r="D18">
            <v>2</v>
          </cell>
          <cell r="E18">
            <v>4.3</v>
          </cell>
          <cell r="F18">
            <v>8.6</v>
          </cell>
        </row>
        <row r="19">
          <cell r="C19" t="str">
            <v>Short wall</v>
          </cell>
          <cell r="D19">
            <v>2</v>
          </cell>
          <cell r="E19">
            <v>2.35</v>
          </cell>
          <cell r="F19">
            <v>4.7</v>
          </cell>
        </row>
        <row r="20">
          <cell r="F20">
            <v>13.3</v>
          </cell>
          <cell r="G20">
            <v>0.75</v>
          </cell>
          <cell r="H20">
            <v>0.82499999999999996</v>
          </cell>
          <cell r="I20">
            <v>8.23</v>
          </cell>
        </row>
        <row r="21">
          <cell r="C21" t="str">
            <v>waiting Long wall</v>
          </cell>
          <cell r="D21">
            <v>2</v>
          </cell>
          <cell r="E21">
            <v>3.55</v>
          </cell>
          <cell r="F21">
            <v>7.1</v>
          </cell>
        </row>
        <row r="22">
          <cell r="C22" t="str">
            <v>Short wall</v>
          </cell>
          <cell r="D22">
            <v>1</v>
          </cell>
          <cell r="E22">
            <v>2.5499999999999998</v>
          </cell>
          <cell r="F22">
            <v>2.5499999999999998</v>
          </cell>
        </row>
        <row r="23">
          <cell r="C23" t="str">
            <v>corridor</v>
          </cell>
          <cell r="D23">
            <v>1</v>
          </cell>
          <cell r="E23">
            <v>7.63</v>
          </cell>
          <cell r="F23">
            <v>7.63</v>
          </cell>
        </row>
        <row r="24">
          <cell r="D24">
            <v>2</v>
          </cell>
          <cell r="E24">
            <v>0.57000000000000006</v>
          </cell>
          <cell r="F24">
            <v>1.1399999999999999</v>
          </cell>
        </row>
        <row r="25">
          <cell r="F25">
            <v>18.419999999999998</v>
          </cell>
          <cell r="G25">
            <v>0.55000000000000004</v>
          </cell>
          <cell r="H25">
            <v>0.57499999999999996</v>
          </cell>
          <cell r="I25">
            <v>5.83</v>
          </cell>
        </row>
        <row r="26">
          <cell r="C26" t="str">
            <v>steps</v>
          </cell>
          <cell r="D26">
            <v>1</v>
          </cell>
          <cell r="E26">
            <v>1.2</v>
          </cell>
          <cell r="F26">
            <v>1.2</v>
          </cell>
          <cell r="G26">
            <v>0.6</v>
          </cell>
          <cell r="H26">
            <v>0.3</v>
          </cell>
          <cell r="I26">
            <v>0.22</v>
          </cell>
        </row>
        <row r="27">
          <cell r="B27">
            <v>2.1</v>
          </cell>
          <cell r="H27" t="str">
            <v>Total E/W =</v>
          </cell>
          <cell r="I27">
            <v>14.280000000000001</v>
          </cell>
          <cell r="J27" t="str">
            <v>M3</v>
          </cell>
        </row>
        <row r="29">
          <cell r="C29" t="str">
            <v xml:space="preserve">Earth filling on floor with necessary compaction </v>
          </cell>
          <cell r="E29" t="str">
            <v>L</v>
          </cell>
          <cell r="F29" t="str">
            <v>B</v>
          </cell>
          <cell r="G29" t="str">
            <v>Area</v>
          </cell>
        </row>
        <row r="30">
          <cell r="C30" t="str">
            <v>Room / waiting</v>
          </cell>
          <cell r="D30">
            <v>2</v>
          </cell>
          <cell r="E30">
            <v>3.1999999999999997</v>
          </cell>
          <cell r="F30">
            <v>2.75</v>
          </cell>
          <cell r="G30">
            <v>17.600000000000001</v>
          </cell>
        </row>
        <row r="31">
          <cell r="C31" t="str">
            <v>corridor</v>
          </cell>
          <cell r="D31">
            <v>1</v>
          </cell>
          <cell r="E31">
            <v>6.73</v>
          </cell>
          <cell r="F31">
            <v>0.77000000000000013</v>
          </cell>
          <cell r="G31">
            <v>5.18</v>
          </cell>
        </row>
        <row r="32">
          <cell r="G32">
            <v>22.78</v>
          </cell>
          <cell r="H32">
            <v>0.15</v>
          </cell>
          <cell r="I32">
            <v>3.42</v>
          </cell>
        </row>
        <row r="33">
          <cell r="C33" t="str">
            <v>Back filling in foundation</v>
          </cell>
          <cell r="G33" t="str">
            <v>33% of total excavation</v>
          </cell>
          <cell r="H33" t="str">
            <v>–</v>
          </cell>
          <cell r="I33">
            <v>4.71</v>
          </cell>
        </row>
        <row r="34">
          <cell r="B34">
            <v>2.2000000000000002</v>
          </cell>
          <cell r="G34" t="str">
            <v>Total Earth filling</v>
          </cell>
          <cell r="I34">
            <v>8.129999999999999</v>
          </cell>
          <cell r="J34" t="str">
            <v>M3</v>
          </cell>
        </row>
        <row r="36">
          <cell r="B36">
            <v>2.2999999999999998</v>
          </cell>
          <cell r="C36" t="str">
            <v xml:space="preserve">Sand filling with necessary compaction </v>
          </cell>
          <cell r="F36" t="str">
            <v xml:space="preserve">        areas of floor =</v>
          </cell>
          <cell r="G36">
            <v>22.78</v>
          </cell>
          <cell r="H36">
            <v>0.15</v>
          </cell>
          <cell r="I36">
            <v>3.42</v>
          </cell>
          <cell r="J36" t="str">
            <v>M3</v>
          </cell>
        </row>
        <row r="38">
          <cell r="C38" t="str">
            <v>Stone soling in foundation -</v>
          </cell>
        </row>
        <row r="39">
          <cell r="C39" t="str">
            <v>Long wall</v>
          </cell>
          <cell r="D39">
            <v>2</v>
          </cell>
          <cell r="E39">
            <v>4.3</v>
          </cell>
          <cell r="F39">
            <v>8.6</v>
          </cell>
        </row>
        <row r="40">
          <cell r="C40" t="str">
            <v>Short wall</v>
          </cell>
          <cell r="D40">
            <v>2</v>
          </cell>
          <cell r="E40">
            <v>2.35</v>
          </cell>
          <cell r="F40">
            <v>4.7</v>
          </cell>
        </row>
        <row r="41">
          <cell r="F41">
            <v>13.3</v>
          </cell>
          <cell r="G41">
            <v>0.75</v>
          </cell>
          <cell r="H41">
            <v>0.15</v>
          </cell>
          <cell r="I41">
            <v>1.5</v>
          </cell>
          <cell r="J41" t="str">
            <v>M3</v>
          </cell>
        </row>
        <row r="42">
          <cell r="C42" t="str">
            <v>waiting Long wall</v>
          </cell>
          <cell r="D42">
            <v>2</v>
          </cell>
          <cell r="E42">
            <v>3.55</v>
          </cell>
          <cell r="F42">
            <v>7.1</v>
          </cell>
        </row>
        <row r="43">
          <cell r="C43" t="str">
            <v>Short wall</v>
          </cell>
          <cell r="D43">
            <v>1</v>
          </cell>
          <cell r="E43">
            <v>2.5499999999999998</v>
          </cell>
          <cell r="F43">
            <v>2.5499999999999998</v>
          </cell>
        </row>
        <row r="44">
          <cell r="C44" t="str">
            <v>corridor</v>
          </cell>
          <cell r="D44">
            <v>1</v>
          </cell>
          <cell r="E44">
            <v>7.63</v>
          </cell>
          <cell r="F44">
            <v>7.63</v>
          </cell>
        </row>
        <row r="45">
          <cell r="D45">
            <v>2</v>
          </cell>
          <cell r="E45">
            <v>0.57000000000000006</v>
          </cell>
          <cell r="F45">
            <v>1.1399999999999999</v>
          </cell>
        </row>
        <row r="46">
          <cell r="F46">
            <v>18.419999999999998</v>
          </cell>
          <cell r="G46">
            <v>0.55000000000000004</v>
          </cell>
          <cell r="H46">
            <v>0.15</v>
          </cell>
          <cell r="I46">
            <v>1.52</v>
          </cell>
          <cell r="J46" t="str">
            <v>M3</v>
          </cell>
        </row>
        <row r="47">
          <cell r="C47" t="str">
            <v>Floor area</v>
          </cell>
          <cell r="E47" t="str">
            <v>area =</v>
          </cell>
          <cell r="F47">
            <v>22.78</v>
          </cell>
          <cell r="H47">
            <v>0.15</v>
          </cell>
          <cell r="I47">
            <v>3.42</v>
          </cell>
          <cell r="J47" t="str">
            <v>,,</v>
          </cell>
        </row>
        <row r="48">
          <cell r="B48">
            <v>3.1</v>
          </cell>
          <cell r="H48" t="str">
            <v xml:space="preserve">Total stone soling = </v>
          </cell>
          <cell r="I48">
            <v>6.4399999999999995</v>
          </cell>
          <cell r="J48" t="str">
            <v>M3</v>
          </cell>
        </row>
        <row r="50">
          <cell r="C50" t="str">
            <v>Stone Masonry work in 1:4</v>
          </cell>
          <cell r="I50" t="str">
            <v xml:space="preserve">  </v>
          </cell>
        </row>
        <row r="51">
          <cell r="C51" t="str">
            <v>Foundation wall</v>
          </cell>
        </row>
        <row r="52">
          <cell r="C52" t="str">
            <v>First step</v>
          </cell>
          <cell r="D52">
            <v>1</v>
          </cell>
          <cell r="E52">
            <v>13.3</v>
          </cell>
          <cell r="F52">
            <v>13.3</v>
          </cell>
          <cell r="G52">
            <v>0.75</v>
          </cell>
          <cell r="H52">
            <v>0.25</v>
          </cell>
          <cell r="I52">
            <v>2.4900000000000002</v>
          </cell>
          <cell r="J52" t="str">
            <v>M3</v>
          </cell>
        </row>
        <row r="53">
          <cell r="C53" t="str">
            <v>2nd step</v>
          </cell>
          <cell r="D53">
            <v>1</v>
          </cell>
          <cell r="E53">
            <v>13.3</v>
          </cell>
          <cell r="F53">
            <v>13.3</v>
          </cell>
          <cell r="G53">
            <v>0.55000000000000004</v>
          </cell>
          <cell r="H53">
            <v>0.25</v>
          </cell>
          <cell r="I53">
            <v>1.83</v>
          </cell>
          <cell r="J53" t="str">
            <v>,,</v>
          </cell>
        </row>
        <row r="54">
          <cell r="C54" t="str">
            <v>3rd step</v>
          </cell>
          <cell r="D54">
            <v>1</v>
          </cell>
          <cell r="E54">
            <v>13.3</v>
          </cell>
          <cell r="F54">
            <v>13.3</v>
          </cell>
          <cell r="G54">
            <v>0.35</v>
          </cell>
          <cell r="H54">
            <v>0.62</v>
          </cell>
          <cell r="I54">
            <v>2.89</v>
          </cell>
          <cell r="J54" t="str">
            <v>,,</v>
          </cell>
        </row>
        <row r="55">
          <cell r="C55" t="str">
            <v>waiting</v>
          </cell>
        </row>
        <row r="56">
          <cell r="C56" t="str">
            <v>First step</v>
          </cell>
          <cell r="D56">
            <v>1</v>
          </cell>
          <cell r="E56">
            <v>18.419999999999998</v>
          </cell>
          <cell r="F56">
            <v>18.420000000000002</v>
          </cell>
          <cell r="G56">
            <v>0.55000000000000004</v>
          </cell>
          <cell r="H56">
            <v>0.25</v>
          </cell>
          <cell r="I56">
            <v>2.5299999999999998</v>
          </cell>
          <cell r="J56" t="str">
            <v>M3</v>
          </cell>
        </row>
        <row r="57">
          <cell r="C57" t="str">
            <v>2nd step</v>
          </cell>
          <cell r="D57">
            <v>1</v>
          </cell>
          <cell r="E57">
            <v>18.419999999999998</v>
          </cell>
          <cell r="F57">
            <v>18.420000000000002</v>
          </cell>
          <cell r="G57">
            <v>0.35</v>
          </cell>
          <cell r="H57">
            <v>0.62</v>
          </cell>
          <cell r="I57">
            <v>4</v>
          </cell>
          <cell r="J57" t="str">
            <v>,,</v>
          </cell>
        </row>
        <row r="58">
          <cell r="B58">
            <v>3.2</v>
          </cell>
          <cell r="H58" t="str">
            <v>Total stone masonry 1:4 =</v>
          </cell>
          <cell r="I58">
            <v>13.74</v>
          </cell>
          <cell r="J58" t="str">
            <v>M3</v>
          </cell>
        </row>
        <row r="60">
          <cell r="C60" t="str">
            <v>Brick Masonry work in 1:4</v>
          </cell>
          <cell r="I60" t="str">
            <v xml:space="preserve">  </v>
          </cell>
        </row>
        <row r="61">
          <cell r="C61" t="str">
            <v>Room Wall above tie beam</v>
          </cell>
          <cell r="D61">
            <v>2</v>
          </cell>
          <cell r="E61">
            <v>3.79</v>
          </cell>
          <cell r="F61">
            <v>7.58</v>
          </cell>
          <cell r="G61">
            <v>0.24</v>
          </cell>
          <cell r="H61">
            <v>2.4700000000000002</v>
          </cell>
          <cell r="I61">
            <v>4.49</v>
          </cell>
          <cell r="J61" t="str">
            <v>M3</v>
          </cell>
        </row>
        <row r="62">
          <cell r="D62">
            <v>2</v>
          </cell>
          <cell r="E62">
            <v>2.8600000000000003</v>
          </cell>
          <cell r="F62">
            <v>5.72</v>
          </cell>
          <cell r="G62">
            <v>0.24</v>
          </cell>
          <cell r="H62">
            <v>2.4700000000000002</v>
          </cell>
          <cell r="I62">
            <v>3.39</v>
          </cell>
        </row>
        <row r="63">
          <cell r="C63" t="str">
            <v>waiting area wall</v>
          </cell>
          <cell r="D63">
            <v>1</v>
          </cell>
          <cell r="E63">
            <v>10.379999999999999</v>
          </cell>
          <cell r="F63">
            <v>10.38</v>
          </cell>
          <cell r="G63">
            <v>0.24</v>
          </cell>
          <cell r="H63">
            <v>0.82500000000000007</v>
          </cell>
          <cell r="I63">
            <v>2.06</v>
          </cell>
          <cell r="J63" t="str">
            <v>,,</v>
          </cell>
        </row>
        <row r="64">
          <cell r="C64" t="str">
            <v>waiting area slab wall</v>
          </cell>
          <cell r="D64">
            <v>5</v>
          </cell>
          <cell r="E64">
            <v>0.45</v>
          </cell>
          <cell r="F64">
            <v>2.25</v>
          </cell>
          <cell r="G64">
            <v>0.24</v>
          </cell>
          <cell r="H64">
            <v>0.45</v>
          </cell>
          <cell r="I64">
            <v>0.24</v>
          </cell>
        </row>
        <row r="65">
          <cell r="C65" t="str">
            <v>Deduction for opening</v>
          </cell>
        </row>
        <row r="66">
          <cell r="C66" t="str">
            <v>Door</v>
          </cell>
          <cell r="D66">
            <v>1</v>
          </cell>
          <cell r="E66">
            <v>1</v>
          </cell>
          <cell r="F66">
            <v>1</v>
          </cell>
          <cell r="G66">
            <v>0.24</v>
          </cell>
          <cell r="H66">
            <v>2.1</v>
          </cell>
          <cell r="I66">
            <v>-0.5</v>
          </cell>
          <cell r="J66" t="str">
            <v>M3</v>
          </cell>
        </row>
        <row r="67">
          <cell r="C67" t="str">
            <v>Window</v>
          </cell>
          <cell r="D67">
            <v>3</v>
          </cell>
          <cell r="E67">
            <v>1.2</v>
          </cell>
          <cell r="F67">
            <v>3.6</v>
          </cell>
          <cell r="G67">
            <v>0.24</v>
          </cell>
          <cell r="H67">
            <v>1.2</v>
          </cell>
          <cell r="I67">
            <v>-1.04</v>
          </cell>
          <cell r="J67" t="str">
            <v>,,</v>
          </cell>
        </row>
        <row r="68">
          <cell r="C68" t="str">
            <v>Sill band</v>
          </cell>
          <cell r="I68">
            <v>-0.43</v>
          </cell>
          <cell r="J68" t="str">
            <v>,,</v>
          </cell>
        </row>
        <row r="69">
          <cell r="C69" t="str">
            <v>Lintel band</v>
          </cell>
          <cell r="I69">
            <v>-0.48</v>
          </cell>
          <cell r="J69" t="str">
            <v>,,</v>
          </cell>
        </row>
        <row r="70">
          <cell r="C70" t="str">
            <v>Stich at corner and T junction</v>
          </cell>
          <cell r="I70">
            <v>-0.17</v>
          </cell>
          <cell r="J70" t="str">
            <v>,,</v>
          </cell>
        </row>
        <row r="71">
          <cell r="B71">
            <v>3.3</v>
          </cell>
          <cell r="H71" t="str">
            <v>Total brick masonry 1:4 =</v>
          </cell>
          <cell r="I71">
            <v>7.5600000000000005</v>
          </cell>
          <cell r="J71" t="str">
            <v>M3</v>
          </cell>
        </row>
        <row r="73">
          <cell r="C73" t="str">
            <v>1:3:6 P.C.C. in foundation -</v>
          </cell>
        </row>
        <row r="74">
          <cell r="C74" t="str">
            <v>room wall</v>
          </cell>
          <cell r="F74">
            <v>13.3</v>
          </cell>
          <cell r="G74">
            <v>0.75</v>
          </cell>
          <cell r="H74">
            <v>7.4999999999999997E-2</v>
          </cell>
          <cell r="I74">
            <v>0.75</v>
          </cell>
          <cell r="J74" t="str">
            <v>M3</v>
          </cell>
        </row>
        <row r="75">
          <cell r="C75" t="str">
            <v>waiting area</v>
          </cell>
          <cell r="F75">
            <v>18.419999999999998</v>
          </cell>
          <cell r="G75">
            <v>0.55000000000000004</v>
          </cell>
          <cell r="H75">
            <v>7.4999999999999997E-2</v>
          </cell>
          <cell r="I75">
            <v>0.76</v>
          </cell>
          <cell r="J75" t="str">
            <v>,,</v>
          </cell>
        </row>
        <row r="76">
          <cell r="B76">
            <v>4.0999999999999996</v>
          </cell>
          <cell r="H76" t="str">
            <v>Total p.c.c. 1:3:6 =</v>
          </cell>
          <cell r="I76">
            <v>1.51</v>
          </cell>
          <cell r="J76" t="str">
            <v>M3</v>
          </cell>
        </row>
        <row r="78">
          <cell r="C78" t="str">
            <v xml:space="preserve">1:2:4 P.C.C. on floor </v>
          </cell>
        </row>
        <row r="79">
          <cell r="C79" t="str">
            <v>Floor area</v>
          </cell>
          <cell r="D79" t="str">
            <v>–</v>
          </cell>
          <cell r="F79" t="str">
            <v xml:space="preserve">        areas of floor =</v>
          </cell>
          <cell r="G79">
            <v>22.78</v>
          </cell>
          <cell r="H79">
            <v>7.4999999999999997E-2</v>
          </cell>
          <cell r="I79">
            <v>1.71</v>
          </cell>
          <cell r="J79" t="str">
            <v>M3</v>
          </cell>
        </row>
        <row r="80">
          <cell r="B80">
            <v>4.2</v>
          </cell>
          <cell r="H80" t="str">
            <v xml:space="preserve">Total P.C.C. 1:2:4 = </v>
          </cell>
          <cell r="I80">
            <v>1.71</v>
          </cell>
          <cell r="J80" t="str">
            <v>M3</v>
          </cell>
        </row>
        <row r="82">
          <cell r="C82" t="str">
            <v>1:1.5:3 P.C.C. for R.C.C. work -</v>
          </cell>
        </row>
        <row r="83">
          <cell r="C83" t="str">
            <v>Tie beam</v>
          </cell>
          <cell r="F83">
            <v>13.3</v>
          </cell>
        </row>
        <row r="84">
          <cell r="F84">
            <v>18.419999999999998</v>
          </cell>
        </row>
        <row r="85">
          <cell r="F85">
            <v>31.72</v>
          </cell>
          <cell r="G85">
            <v>0.24</v>
          </cell>
          <cell r="H85">
            <v>0.23</v>
          </cell>
          <cell r="I85">
            <v>1.75</v>
          </cell>
          <cell r="J85" t="str">
            <v>M3</v>
          </cell>
        </row>
        <row r="86">
          <cell r="C86" t="str">
            <v>Sill band</v>
          </cell>
          <cell r="D86">
            <v>1</v>
          </cell>
          <cell r="E86">
            <v>23.68</v>
          </cell>
          <cell r="F86">
            <v>23.68</v>
          </cell>
          <cell r="G86">
            <v>0.24</v>
          </cell>
          <cell r="H86">
            <v>7.4999999999999997E-2</v>
          </cell>
          <cell r="I86">
            <v>0.43</v>
          </cell>
          <cell r="J86" t="str">
            <v>,,</v>
          </cell>
        </row>
        <row r="87">
          <cell r="C87" t="str">
            <v>Lintel band</v>
          </cell>
          <cell r="D87">
            <v>1</v>
          </cell>
          <cell r="E87">
            <v>13.3</v>
          </cell>
          <cell r="F87">
            <v>13.3</v>
          </cell>
          <cell r="G87">
            <v>0.24</v>
          </cell>
          <cell r="H87">
            <v>0.15</v>
          </cell>
          <cell r="I87">
            <v>0.48</v>
          </cell>
          <cell r="J87" t="str">
            <v>,,</v>
          </cell>
        </row>
        <row r="88">
          <cell r="C88" t="str">
            <v>Stich at corner and T junction</v>
          </cell>
          <cell r="D88">
            <v>1</v>
          </cell>
          <cell r="E88">
            <v>9.6</v>
          </cell>
          <cell r="F88">
            <v>9.6</v>
          </cell>
          <cell r="G88">
            <v>0.24</v>
          </cell>
          <cell r="H88">
            <v>7.4999999999999997E-2</v>
          </cell>
          <cell r="I88">
            <v>0.17</v>
          </cell>
          <cell r="J88" t="str">
            <v>,,</v>
          </cell>
        </row>
        <row r="89">
          <cell r="C89" t="str">
            <v>beam</v>
          </cell>
          <cell r="D89">
            <v>1</v>
          </cell>
          <cell r="E89">
            <v>13.3</v>
          </cell>
          <cell r="F89">
            <v>13.3</v>
          </cell>
          <cell r="G89">
            <v>0.24</v>
          </cell>
          <cell r="H89">
            <v>0.23</v>
          </cell>
          <cell r="I89">
            <v>0.73</v>
          </cell>
          <cell r="J89" t="str">
            <v>,,</v>
          </cell>
        </row>
        <row r="90">
          <cell r="C90" t="str">
            <v>waiting area slab</v>
          </cell>
          <cell r="D90">
            <v>1</v>
          </cell>
          <cell r="E90">
            <v>8.15</v>
          </cell>
          <cell r="F90">
            <v>8.15</v>
          </cell>
          <cell r="G90">
            <v>0.68</v>
          </cell>
          <cell r="H90">
            <v>0.1</v>
          </cell>
          <cell r="I90">
            <v>0.55000000000000004</v>
          </cell>
        </row>
        <row r="91">
          <cell r="C91" t="str">
            <v>counter slab</v>
          </cell>
          <cell r="D91">
            <v>1</v>
          </cell>
          <cell r="E91">
            <v>3.31</v>
          </cell>
          <cell r="F91">
            <v>3.31</v>
          </cell>
          <cell r="G91">
            <v>0.75</v>
          </cell>
          <cell r="H91">
            <v>0.1</v>
          </cell>
          <cell r="I91">
            <v>0.25</v>
          </cell>
        </row>
        <row r="92">
          <cell r="B92">
            <v>4.3</v>
          </cell>
          <cell r="H92" t="str">
            <v xml:space="preserve">   Net R.C.C. Work =</v>
          </cell>
          <cell r="I92">
            <v>4.3600000000000003</v>
          </cell>
          <cell r="J92" t="str">
            <v>M3</v>
          </cell>
        </row>
        <row r="94">
          <cell r="B94">
            <v>5.0999999999999996</v>
          </cell>
          <cell r="C94" t="str">
            <v>Steel reinforcement for R.C.C. work -</v>
          </cell>
          <cell r="H94" t="str">
            <v>1.3% of Total R.C.C. =</v>
          </cell>
          <cell r="I94">
            <v>444.94</v>
          </cell>
          <cell r="J94" t="str">
            <v>Kg</v>
          </cell>
        </row>
        <row r="95">
          <cell r="I95">
            <v>0.44</v>
          </cell>
          <cell r="J95" t="str">
            <v>Mt</v>
          </cell>
        </row>
        <row r="96">
          <cell r="C96" t="str">
            <v>Form work -</v>
          </cell>
        </row>
        <row r="97">
          <cell r="C97" t="str">
            <v>Tie beam</v>
          </cell>
          <cell r="D97">
            <v>2</v>
          </cell>
          <cell r="E97">
            <v>31.72</v>
          </cell>
          <cell r="F97">
            <v>63.44</v>
          </cell>
          <cell r="H97">
            <v>0.23</v>
          </cell>
          <cell r="I97">
            <v>14.59</v>
          </cell>
        </row>
        <row r="98">
          <cell r="C98" t="str">
            <v>Sill band</v>
          </cell>
          <cell r="D98">
            <v>2</v>
          </cell>
          <cell r="E98">
            <v>23.68</v>
          </cell>
          <cell r="F98">
            <v>47.36</v>
          </cell>
          <cell r="H98">
            <v>7.4999999999999997E-2</v>
          </cell>
          <cell r="I98">
            <v>3.55</v>
          </cell>
        </row>
        <row r="99">
          <cell r="C99" t="str">
            <v>Lintel band</v>
          </cell>
          <cell r="D99">
            <v>2</v>
          </cell>
          <cell r="E99">
            <v>13.3</v>
          </cell>
          <cell r="F99">
            <v>26.6</v>
          </cell>
          <cell r="H99">
            <v>0.15</v>
          </cell>
          <cell r="I99">
            <v>3.99</v>
          </cell>
        </row>
        <row r="100">
          <cell r="C100" t="str">
            <v>Stich at corner and T junction</v>
          </cell>
          <cell r="D100">
            <v>2</v>
          </cell>
          <cell r="E100">
            <v>9.6</v>
          </cell>
          <cell r="F100">
            <v>19.2</v>
          </cell>
          <cell r="H100">
            <v>7.4999999999999997E-2</v>
          </cell>
          <cell r="I100">
            <v>1.44</v>
          </cell>
        </row>
        <row r="101">
          <cell r="C101" t="str">
            <v>Beam</v>
          </cell>
          <cell r="D101">
            <v>2</v>
          </cell>
          <cell r="E101">
            <v>13.3</v>
          </cell>
          <cell r="F101">
            <v>26.6</v>
          </cell>
          <cell r="H101">
            <v>0.23</v>
          </cell>
          <cell r="I101">
            <v>6.12</v>
          </cell>
        </row>
        <row r="102">
          <cell r="C102" t="str">
            <v>waiting area slab</v>
          </cell>
          <cell r="D102">
            <v>1</v>
          </cell>
          <cell r="E102">
            <v>8.15</v>
          </cell>
          <cell r="F102">
            <v>8.15</v>
          </cell>
          <cell r="G102">
            <v>0.55000000000000004</v>
          </cell>
          <cell r="I102">
            <v>4.4800000000000004</v>
          </cell>
        </row>
        <row r="103">
          <cell r="C103" t="str">
            <v>counter slab</v>
          </cell>
          <cell r="D103">
            <v>1</v>
          </cell>
          <cell r="E103">
            <v>3.31</v>
          </cell>
          <cell r="F103">
            <v>3.31</v>
          </cell>
          <cell r="G103">
            <v>0.85</v>
          </cell>
          <cell r="I103">
            <v>2.81</v>
          </cell>
        </row>
        <row r="104">
          <cell r="B104">
            <v>6.1</v>
          </cell>
          <cell r="H104" t="str">
            <v>Total Formwork =</v>
          </cell>
          <cell r="I104">
            <v>36.979999999999997</v>
          </cell>
          <cell r="J104" t="str">
            <v>M2</v>
          </cell>
        </row>
        <row r="106">
          <cell r="C106" t="str">
            <v>Plaster work :-</v>
          </cell>
        </row>
        <row r="107">
          <cell r="C107" t="str">
            <v xml:space="preserve">20 mm thick c/s plaster (1:4) </v>
          </cell>
        </row>
        <row r="108">
          <cell r="C108" t="str">
            <v>Inside room</v>
          </cell>
          <cell r="D108">
            <v>1</v>
          </cell>
          <cell r="E108">
            <v>12.34</v>
          </cell>
          <cell r="F108">
            <v>12.34</v>
          </cell>
          <cell r="G108" t="str">
            <v>–</v>
          </cell>
          <cell r="H108">
            <v>2.7</v>
          </cell>
          <cell r="I108">
            <v>33.32</v>
          </cell>
          <cell r="J108" t="str">
            <v>M2</v>
          </cell>
        </row>
        <row r="109">
          <cell r="C109" t="str">
            <v>waiting area wall</v>
          </cell>
          <cell r="D109">
            <v>1</v>
          </cell>
          <cell r="E109">
            <v>9.4</v>
          </cell>
          <cell r="F109">
            <v>9.4</v>
          </cell>
          <cell r="G109" t="str">
            <v>–</v>
          </cell>
          <cell r="H109">
            <v>0.9</v>
          </cell>
          <cell r="I109">
            <v>8.4600000000000009</v>
          </cell>
          <cell r="J109" t="str">
            <v>,,</v>
          </cell>
        </row>
        <row r="110">
          <cell r="C110" t="str">
            <v>waiting area slab wall</v>
          </cell>
          <cell r="D110">
            <v>10</v>
          </cell>
          <cell r="E110">
            <v>0.45</v>
          </cell>
          <cell r="F110">
            <v>4.5</v>
          </cell>
          <cell r="H110">
            <v>0.45</v>
          </cell>
          <cell r="I110">
            <v>2.0299999999999998</v>
          </cell>
        </row>
        <row r="111">
          <cell r="C111" t="str">
            <v>Deduction</v>
          </cell>
        </row>
        <row r="112">
          <cell r="C112" t="str">
            <v>Door</v>
          </cell>
          <cell r="D112">
            <v>1</v>
          </cell>
          <cell r="E112">
            <v>1</v>
          </cell>
          <cell r="F112">
            <v>1</v>
          </cell>
          <cell r="G112" t="str">
            <v>–</v>
          </cell>
          <cell r="H112">
            <v>2.1</v>
          </cell>
          <cell r="I112">
            <v>-1.05</v>
          </cell>
          <cell r="J112" t="str">
            <v>half</v>
          </cell>
        </row>
        <row r="113">
          <cell r="C113" t="str">
            <v>Window</v>
          </cell>
          <cell r="D113">
            <v>3</v>
          </cell>
          <cell r="E113">
            <v>1.2</v>
          </cell>
          <cell r="F113">
            <v>3.6</v>
          </cell>
          <cell r="G113" t="str">
            <v>–</v>
          </cell>
          <cell r="H113">
            <v>1.2</v>
          </cell>
          <cell r="I113">
            <v>-2.16</v>
          </cell>
          <cell r="J113" t="str">
            <v>,,</v>
          </cell>
        </row>
        <row r="114">
          <cell r="C114" t="str">
            <v>room floor</v>
          </cell>
          <cell r="D114">
            <v>1</v>
          </cell>
          <cell r="E114">
            <v>3.31</v>
          </cell>
          <cell r="F114">
            <v>3.31</v>
          </cell>
          <cell r="G114">
            <v>2.86</v>
          </cell>
          <cell r="I114">
            <v>9.4700000000000006</v>
          </cell>
        </row>
        <row r="115">
          <cell r="C115" t="str">
            <v>waiting area floor</v>
          </cell>
          <cell r="D115">
            <v>1</v>
          </cell>
          <cell r="E115">
            <v>3.54</v>
          </cell>
          <cell r="F115">
            <v>3.54</v>
          </cell>
          <cell r="G115">
            <v>4.43</v>
          </cell>
          <cell r="I115">
            <v>15.68</v>
          </cell>
        </row>
        <row r="116">
          <cell r="C116" t="str">
            <v>corridor</v>
          </cell>
          <cell r="D116">
            <v>1</v>
          </cell>
          <cell r="E116">
            <v>3.76</v>
          </cell>
          <cell r="F116">
            <v>3.76</v>
          </cell>
          <cell r="G116">
            <v>1.1200000000000001</v>
          </cell>
          <cell r="I116">
            <v>4.21</v>
          </cell>
        </row>
        <row r="117">
          <cell r="C117" t="str">
            <v>waiting area slab floor</v>
          </cell>
          <cell r="D117">
            <v>1</v>
          </cell>
          <cell r="E117">
            <v>8.15</v>
          </cell>
          <cell r="F117">
            <v>8.15</v>
          </cell>
          <cell r="G117">
            <v>0.45</v>
          </cell>
          <cell r="I117">
            <v>3.67</v>
          </cell>
        </row>
        <row r="118">
          <cell r="C118" t="str">
            <v>counter slab floor</v>
          </cell>
          <cell r="D118">
            <v>1</v>
          </cell>
          <cell r="E118">
            <v>3.31</v>
          </cell>
          <cell r="F118">
            <v>3.31</v>
          </cell>
          <cell r="G118">
            <v>0.75</v>
          </cell>
          <cell r="I118">
            <v>2.48</v>
          </cell>
        </row>
        <row r="119">
          <cell r="C119" t="str">
            <v>below plinth</v>
          </cell>
          <cell r="D119">
            <v>1</v>
          </cell>
          <cell r="E119">
            <v>23.46</v>
          </cell>
          <cell r="F119">
            <v>23.46</v>
          </cell>
          <cell r="H119">
            <v>0.75</v>
          </cell>
          <cell r="I119">
            <v>17.600000000000001</v>
          </cell>
        </row>
        <row r="120">
          <cell r="C120" t="str">
            <v>steps</v>
          </cell>
          <cell r="D120">
            <v>1</v>
          </cell>
          <cell r="E120">
            <v>1.2</v>
          </cell>
          <cell r="F120">
            <v>1.2</v>
          </cell>
          <cell r="H120">
            <v>0.6</v>
          </cell>
          <cell r="I120">
            <v>0.72</v>
          </cell>
        </row>
        <row r="121">
          <cell r="B121">
            <v>7.1</v>
          </cell>
          <cell r="H121" t="str">
            <v xml:space="preserve">Total 20mm plaster = </v>
          </cell>
          <cell r="I121">
            <v>94.43</v>
          </cell>
          <cell r="J121" t="str">
            <v>M2</v>
          </cell>
        </row>
        <row r="123">
          <cell r="C123" t="str">
            <v xml:space="preserve">12.5 mm thick c/s plaster (1:4) </v>
          </cell>
        </row>
        <row r="124">
          <cell r="C124" t="str">
            <v xml:space="preserve"> Outside -                </v>
          </cell>
          <cell r="D124">
            <v>1</v>
          </cell>
          <cell r="E124">
            <v>14.14</v>
          </cell>
          <cell r="F124">
            <v>14.14</v>
          </cell>
          <cell r="G124" t="str">
            <v>–</v>
          </cell>
          <cell r="H124">
            <v>2.7</v>
          </cell>
          <cell r="I124">
            <v>38.18</v>
          </cell>
          <cell r="J124" t="str">
            <v>M2</v>
          </cell>
        </row>
        <row r="125">
          <cell r="C125" t="str">
            <v>Outer waiting area wall</v>
          </cell>
          <cell r="D125">
            <v>1</v>
          </cell>
          <cell r="E125">
            <v>10.309999999999999</v>
          </cell>
          <cell r="F125">
            <v>10.31</v>
          </cell>
          <cell r="H125">
            <v>1.1400000000000001</v>
          </cell>
          <cell r="I125">
            <v>11.75</v>
          </cell>
          <cell r="J125" t="str">
            <v>,,</v>
          </cell>
        </row>
        <row r="126">
          <cell r="C126" t="str">
            <v>Deduction</v>
          </cell>
        </row>
        <row r="127">
          <cell r="C127" t="str">
            <v>Door</v>
          </cell>
          <cell r="D127">
            <v>1</v>
          </cell>
          <cell r="E127">
            <v>1</v>
          </cell>
          <cell r="F127">
            <v>1</v>
          </cell>
          <cell r="G127" t="str">
            <v>–</v>
          </cell>
          <cell r="H127">
            <v>2.1</v>
          </cell>
          <cell r="I127">
            <v>-1.05</v>
          </cell>
          <cell r="J127" t="str">
            <v>half</v>
          </cell>
        </row>
        <row r="128">
          <cell r="C128" t="str">
            <v>Window</v>
          </cell>
          <cell r="D128">
            <v>3</v>
          </cell>
          <cell r="E128">
            <v>1.2</v>
          </cell>
          <cell r="F128">
            <v>3.6</v>
          </cell>
          <cell r="H128">
            <v>1.2</v>
          </cell>
          <cell r="I128">
            <v>-2.16</v>
          </cell>
          <cell r="J128" t="str">
            <v>,,</v>
          </cell>
        </row>
        <row r="129">
          <cell r="B129">
            <v>7.2</v>
          </cell>
          <cell r="F129" t="str">
            <v xml:space="preserve">Total 12.5 mm plaster = </v>
          </cell>
          <cell r="I129">
            <v>46.72</v>
          </cell>
          <cell r="J129" t="str">
            <v>M2</v>
          </cell>
        </row>
        <row r="131">
          <cell r="B131">
            <v>8.1</v>
          </cell>
          <cell r="C131" t="str">
            <v>500 gauge plastic sheet laying on floor</v>
          </cell>
          <cell r="F131" t="str">
            <v xml:space="preserve">        areas of floor =</v>
          </cell>
          <cell r="G131">
            <v>22.78</v>
          </cell>
          <cell r="H131" t="str">
            <v>–</v>
          </cell>
          <cell r="I131">
            <v>22.78</v>
          </cell>
          <cell r="J131" t="str">
            <v>M2</v>
          </cell>
        </row>
        <row r="133">
          <cell r="C133" t="str">
            <v>3mm punning works 1:1</v>
          </cell>
        </row>
        <row r="134">
          <cell r="C134" t="str">
            <v>room floor</v>
          </cell>
          <cell r="D134">
            <v>1</v>
          </cell>
          <cell r="E134">
            <v>3.31</v>
          </cell>
          <cell r="F134">
            <v>3.31</v>
          </cell>
          <cell r="G134">
            <v>2.86</v>
          </cell>
          <cell r="I134">
            <v>9.4700000000000006</v>
          </cell>
          <cell r="J134" t="str">
            <v>M2</v>
          </cell>
        </row>
        <row r="135">
          <cell r="C135" t="str">
            <v>waiting area floor</v>
          </cell>
          <cell r="D135">
            <v>1</v>
          </cell>
          <cell r="E135">
            <v>3.54</v>
          </cell>
          <cell r="F135">
            <v>3.54</v>
          </cell>
          <cell r="G135">
            <v>4.43</v>
          </cell>
          <cell r="I135">
            <v>15.68</v>
          </cell>
        </row>
        <row r="136">
          <cell r="C136" t="str">
            <v>corridor</v>
          </cell>
          <cell r="D136">
            <v>1</v>
          </cell>
          <cell r="E136">
            <v>3.76</v>
          </cell>
          <cell r="F136">
            <v>3.76</v>
          </cell>
          <cell r="G136">
            <v>1.1200000000000001</v>
          </cell>
          <cell r="I136">
            <v>4.21</v>
          </cell>
        </row>
        <row r="137">
          <cell r="C137" t="str">
            <v>waiting area slab floor</v>
          </cell>
          <cell r="D137">
            <v>1</v>
          </cell>
          <cell r="E137">
            <v>8.15</v>
          </cell>
          <cell r="F137">
            <v>8.15</v>
          </cell>
          <cell r="G137">
            <v>0.45</v>
          </cell>
          <cell r="I137">
            <v>3.67</v>
          </cell>
        </row>
        <row r="138">
          <cell r="C138" t="str">
            <v>counter slab floor</v>
          </cell>
          <cell r="D138">
            <v>1</v>
          </cell>
          <cell r="E138">
            <v>3.31</v>
          </cell>
          <cell r="F138">
            <v>3.31</v>
          </cell>
          <cell r="G138">
            <v>0.75</v>
          </cell>
          <cell r="I138">
            <v>2.48</v>
          </cell>
        </row>
        <row r="139">
          <cell r="C139" t="str">
            <v>below plinth</v>
          </cell>
          <cell r="D139">
            <v>1</v>
          </cell>
          <cell r="E139">
            <v>23.46</v>
          </cell>
          <cell r="F139">
            <v>23.46</v>
          </cell>
          <cell r="H139">
            <v>0.75</v>
          </cell>
          <cell r="I139">
            <v>17.600000000000001</v>
          </cell>
        </row>
        <row r="140">
          <cell r="C140" t="str">
            <v>steps</v>
          </cell>
          <cell r="D140">
            <v>1</v>
          </cell>
          <cell r="E140">
            <v>1.2</v>
          </cell>
          <cell r="F140">
            <v>1.2</v>
          </cell>
          <cell r="H140">
            <v>0.6</v>
          </cell>
          <cell r="I140">
            <v>0.72</v>
          </cell>
        </row>
        <row r="141">
          <cell r="B141">
            <v>8.1999999999999993</v>
          </cell>
          <cell r="H141" t="str">
            <v>Total  =</v>
          </cell>
          <cell r="I141">
            <v>53.83</v>
          </cell>
          <cell r="J141" t="str">
            <v>M2</v>
          </cell>
        </row>
        <row r="143">
          <cell r="C143" t="str">
            <v>Painting work</v>
          </cell>
        </row>
        <row r="144">
          <cell r="C144" t="str">
            <v>2 coats readymade enamel paints over one coats primer</v>
          </cell>
          <cell r="G144" t="str">
            <v>factor</v>
          </cell>
        </row>
        <row r="145">
          <cell r="C145" t="str">
            <v>Door</v>
          </cell>
          <cell r="D145">
            <v>1</v>
          </cell>
          <cell r="E145">
            <v>1</v>
          </cell>
          <cell r="F145">
            <v>1</v>
          </cell>
          <cell r="G145">
            <v>2.25</v>
          </cell>
          <cell r="H145">
            <v>2.1</v>
          </cell>
          <cell r="I145">
            <v>4.7300000000000004</v>
          </cell>
          <cell r="J145" t="str">
            <v>M2</v>
          </cell>
        </row>
        <row r="146">
          <cell r="C146" t="str">
            <v>Window</v>
          </cell>
          <cell r="D146">
            <v>3</v>
          </cell>
          <cell r="E146">
            <v>1.2</v>
          </cell>
          <cell r="F146">
            <v>3.6</v>
          </cell>
          <cell r="G146">
            <v>1.125</v>
          </cell>
          <cell r="H146">
            <v>1.2</v>
          </cell>
          <cell r="I146">
            <v>4.8600000000000003</v>
          </cell>
          <cell r="J146" t="str">
            <v>,,</v>
          </cell>
        </row>
        <row r="147">
          <cell r="F147" t="str">
            <v>same as area of grill =</v>
          </cell>
          <cell r="G147">
            <v>2.84</v>
          </cell>
          <cell r="I147">
            <v>2.84</v>
          </cell>
          <cell r="J147" t="str">
            <v>,,</v>
          </cell>
        </row>
        <row r="148">
          <cell r="B148">
            <v>9.1</v>
          </cell>
          <cell r="H148" t="str">
            <v>Total enamel paint =</v>
          </cell>
          <cell r="I148">
            <v>12.43</v>
          </cell>
          <cell r="J148" t="str">
            <v>M2</v>
          </cell>
        </row>
        <row r="150">
          <cell r="C150" t="str">
            <v>Two coat Distemper paint</v>
          </cell>
          <cell r="E150" t="str">
            <v>Same as inside plaster area</v>
          </cell>
          <cell r="I150">
            <v>94.43</v>
          </cell>
          <cell r="J150" t="str">
            <v>M2</v>
          </cell>
        </row>
        <row r="151">
          <cell r="C151" t="str">
            <v>Deduction of punning area</v>
          </cell>
          <cell r="I151">
            <v>-53.83</v>
          </cell>
          <cell r="J151" t="str">
            <v>,,</v>
          </cell>
        </row>
        <row r="152">
          <cell r="B152">
            <v>9.1999999999999993</v>
          </cell>
          <cell r="H152" t="str">
            <v>Total distemper paint</v>
          </cell>
          <cell r="I152">
            <v>40.600000000000009</v>
          </cell>
          <cell r="J152" t="str">
            <v>M2</v>
          </cell>
        </row>
        <row r="154">
          <cell r="C154" t="str">
            <v xml:space="preserve">Two coats weather proof paint (apex) for outside area- </v>
          </cell>
        </row>
        <row r="155">
          <cell r="C155" t="str">
            <v>Same as outside plaster area</v>
          </cell>
          <cell r="I155">
            <v>46.72</v>
          </cell>
          <cell r="J155" t="str">
            <v>M2</v>
          </cell>
        </row>
        <row r="156">
          <cell r="B156">
            <v>9.3000000000000007</v>
          </cell>
          <cell r="H156" t="str">
            <v>Total =</v>
          </cell>
          <cell r="I156">
            <v>46.72</v>
          </cell>
          <cell r="J156" t="str">
            <v>M2</v>
          </cell>
        </row>
        <row r="158">
          <cell r="C158" t="str">
            <v>Doors &amp; windows Works</v>
          </cell>
        </row>
        <row r="159">
          <cell r="C159" t="str">
            <v>Chaukhat</v>
          </cell>
        </row>
        <row r="160">
          <cell r="C160" t="str">
            <v>Door</v>
          </cell>
          <cell r="D160">
            <v>1</v>
          </cell>
          <cell r="E160">
            <v>5.2</v>
          </cell>
          <cell r="F160">
            <v>5.2</v>
          </cell>
        </row>
        <row r="161">
          <cell r="C161" t="str">
            <v>Window</v>
          </cell>
          <cell r="D161">
            <v>3</v>
          </cell>
          <cell r="E161">
            <v>7.1999999999999993</v>
          </cell>
          <cell r="F161">
            <v>21.6</v>
          </cell>
        </row>
        <row r="162">
          <cell r="F162">
            <v>26.8</v>
          </cell>
          <cell r="G162">
            <v>0.125</v>
          </cell>
          <cell r="H162">
            <v>7.4999999999999997E-2</v>
          </cell>
          <cell r="I162">
            <v>0.251</v>
          </cell>
        </row>
        <row r="163">
          <cell r="B163">
            <v>10.1</v>
          </cell>
          <cell r="H163" t="str">
            <v>Total</v>
          </cell>
          <cell r="I163">
            <v>0.251</v>
          </cell>
          <cell r="J163" t="str">
            <v>M3</v>
          </cell>
        </row>
        <row r="165">
          <cell r="C165" t="str">
            <v>38mm thick Ready made Teak wood shutter</v>
          </cell>
        </row>
        <row r="166">
          <cell r="C166" t="str">
            <v xml:space="preserve">Door </v>
          </cell>
          <cell r="D166">
            <v>1</v>
          </cell>
          <cell r="E166">
            <v>0.875</v>
          </cell>
          <cell r="F166">
            <v>0.88</v>
          </cell>
          <cell r="H166">
            <v>2.0375000000000001</v>
          </cell>
          <cell r="I166">
            <v>1.79</v>
          </cell>
        </row>
        <row r="167">
          <cell r="B167">
            <v>10.199999999999999</v>
          </cell>
          <cell r="H167" t="str">
            <v>Total</v>
          </cell>
          <cell r="I167">
            <v>1.79</v>
          </cell>
          <cell r="J167" t="str">
            <v>M2</v>
          </cell>
        </row>
        <row r="169">
          <cell r="C169" t="str">
            <v>Glazed shutter</v>
          </cell>
        </row>
        <row r="170">
          <cell r="C170" t="str">
            <v>Window</v>
          </cell>
          <cell r="D170">
            <v>3</v>
          </cell>
          <cell r="E170">
            <v>0.97499999999999987</v>
          </cell>
          <cell r="F170">
            <v>2.93</v>
          </cell>
          <cell r="H170">
            <v>1.075</v>
          </cell>
          <cell r="I170">
            <v>3.15</v>
          </cell>
        </row>
        <row r="171">
          <cell r="B171">
            <v>10.3</v>
          </cell>
          <cell r="H171" t="str">
            <v>Total</v>
          </cell>
          <cell r="I171">
            <v>3.15</v>
          </cell>
          <cell r="J171" t="str">
            <v>M2</v>
          </cell>
        </row>
        <row r="173">
          <cell r="C173" t="str">
            <v>4.5mmx20mm m.s steel grill work</v>
          </cell>
        </row>
        <row r="174">
          <cell r="C174" t="str">
            <v>Window</v>
          </cell>
          <cell r="D174">
            <v>3</v>
          </cell>
          <cell r="E174">
            <v>0.89999999999999991</v>
          </cell>
          <cell r="F174">
            <v>2.7</v>
          </cell>
          <cell r="H174">
            <v>1.05</v>
          </cell>
          <cell r="I174">
            <v>2.84</v>
          </cell>
        </row>
        <row r="175">
          <cell r="B175">
            <v>10.4</v>
          </cell>
          <cell r="H175" t="str">
            <v>Total</v>
          </cell>
          <cell r="I175">
            <v>2.84</v>
          </cell>
          <cell r="J175" t="str">
            <v>M2</v>
          </cell>
        </row>
        <row r="176">
          <cell r="C176" t="str">
            <v>3mm thick UPVC sheet roofing works</v>
          </cell>
        </row>
        <row r="177">
          <cell r="D177">
            <v>1</v>
          </cell>
          <cell r="E177">
            <v>7.9</v>
          </cell>
          <cell r="F177">
            <v>7.9</v>
          </cell>
          <cell r="G177">
            <v>3.15</v>
          </cell>
          <cell r="H177" t="str">
            <v>–</v>
          </cell>
          <cell r="I177">
            <v>24.89</v>
          </cell>
          <cell r="J177" t="str">
            <v>M2</v>
          </cell>
        </row>
        <row r="178">
          <cell r="D178">
            <v>1</v>
          </cell>
          <cell r="E178">
            <v>7.9</v>
          </cell>
          <cell r="F178">
            <v>7.9</v>
          </cell>
          <cell r="G178">
            <v>2</v>
          </cell>
          <cell r="H178" t="str">
            <v>–</v>
          </cell>
          <cell r="I178">
            <v>15.8</v>
          </cell>
        </row>
        <row r="179">
          <cell r="C179" t="str">
            <v>Ridge</v>
          </cell>
          <cell r="D179">
            <v>1</v>
          </cell>
          <cell r="E179">
            <v>7.9</v>
          </cell>
          <cell r="F179">
            <v>7.9</v>
          </cell>
          <cell r="G179">
            <v>0.6</v>
          </cell>
          <cell r="H179" t="str">
            <v>–</v>
          </cell>
          <cell r="I179">
            <v>4.74</v>
          </cell>
          <cell r="J179" t="str">
            <v>,,</v>
          </cell>
        </row>
        <row r="180">
          <cell r="B180">
            <v>11.1</v>
          </cell>
          <cell r="H180" t="str">
            <v>Total =</v>
          </cell>
          <cell r="I180">
            <v>45.43</v>
          </cell>
          <cell r="J180" t="str">
            <v>M2</v>
          </cell>
        </row>
        <row r="182">
          <cell r="C182" t="str">
            <v>Black pipe iron work of medium class for truss</v>
          </cell>
        </row>
        <row r="183">
          <cell r="C183" t="str">
            <v>Truss</v>
          </cell>
        </row>
        <row r="184">
          <cell r="C184" t="str">
            <v>32 mm dia. Member</v>
          </cell>
          <cell r="D184">
            <v>3</v>
          </cell>
          <cell r="E184">
            <v>5</v>
          </cell>
          <cell r="F184">
            <v>15</v>
          </cell>
          <cell r="G184">
            <v>3.15</v>
          </cell>
          <cell r="H184" t="str">
            <v>kg/m</v>
          </cell>
          <cell r="I184">
            <v>47.25</v>
          </cell>
          <cell r="J184" t="str">
            <v>Kg</v>
          </cell>
        </row>
        <row r="185">
          <cell r="C185" t="str">
            <v>40 mm dia. Member</v>
          </cell>
          <cell r="D185">
            <v>3</v>
          </cell>
          <cell r="E185">
            <v>8.4499999999999993</v>
          </cell>
          <cell r="F185">
            <v>25.35</v>
          </cell>
          <cell r="G185">
            <v>3.61</v>
          </cell>
          <cell r="H185" t="str">
            <v>kg/m</v>
          </cell>
          <cell r="I185">
            <v>91.51</v>
          </cell>
          <cell r="J185" t="str">
            <v>,,</v>
          </cell>
        </row>
        <row r="186">
          <cell r="C186" t="str">
            <v>nutbolt, plate</v>
          </cell>
          <cell r="H186" t="str">
            <v xml:space="preserve"> @ 10% =</v>
          </cell>
          <cell r="I186">
            <v>13.875999999999999</v>
          </cell>
          <cell r="J186" t="str">
            <v>,,</v>
          </cell>
        </row>
        <row r="187">
          <cell r="B187">
            <v>11.2</v>
          </cell>
          <cell r="H187" t="str">
            <v>Total =</v>
          </cell>
          <cell r="I187">
            <v>152.636</v>
          </cell>
          <cell r="J187" t="str">
            <v>Kg</v>
          </cell>
        </row>
        <row r="189">
          <cell r="C189" t="str">
            <v>Black pipe iron work of medium class for rafter ,purlin</v>
          </cell>
        </row>
        <row r="190">
          <cell r="C190" t="str">
            <v>80 mm dia. Post</v>
          </cell>
          <cell r="D190">
            <v>4</v>
          </cell>
          <cell r="E190">
            <v>3</v>
          </cell>
          <cell r="F190">
            <v>12</v>
          </cell>
          <cell r="G190">
            <v>8.48</v>
          </cell>
          <cell r="H190" t="str">
            <v>kg/m</v>
          </cell>
          <cell r="I190">
            <v>101.76</v>
          </cell>
          <cell r="J190" t="str">
            <v>Kg</v>
          </cell>
        </row>
        <row r="191">
          <cell r="C191" t="str">
            <v>50 mm dia. Purlin</v>
          </cell>
          <cell r="D191">
            <v>10</v>
          </cell>
          <cell r="E191">
            <v>7.9</v>
          </cell>
          <cell r="F191">
            <v>79</v>
          </cell>
          <cell r="G191">
            <v>5.0999999999999996</v>
          </cell>
          <cell r="H191" t="str">
            <v>kg/m</v>
          </cell>
          <cell r="I191">
            <v>402.9</v>
          </cell>
          <cell r="J191" t="str">
            <v>Kg</v>
          </cell>
        </row>
        <row r="192">
          <cell r="C192" t="str">
            <v>nutbult, plate</v>
          </cell>
          <cell r="H192" t="str">
            <v xml:space="preserve"> @ 10% =</v>
          </cell>
          <cell r="I192">
            <v>40.29</v>
          </cell>
          <cell r="J192" t="str">
            <v>,,</v>
          </cell>
        </row>
        <row r="193">
          <cell r="B193">
            <v>11.3</v>
          </cell>
          <cell r="H193" t="str">
            <v>Total =</v>
          </cell>
          <cell r="I193">
            <v>544.94999999999993</v>
          </cell>
          <cell r="J193" t="str">
            <v>Kg</v>
          </cell>
        </row>
      </sheetData>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Dist Rate"/>
      <sheetName val="update Rate"/>
      <sheetName val="Update Descrip"/>
      <sheetName val="Table of Content 1"/>
      <sheetName val="Table of Content 2"/>
    </sheetNames>
    <sheetDataSet>
      <sheetData sheetId="0" refreshError="1"/>
      <sheetData sheetId="1" refreshError="1"/>
      <sheetData sheetId="2">
        <row r="6">
          <cell r="E6">
            <v>400</v>
          </cell>
        </row>
      </sheetData>
      <sheetData sheetId="3" refreshError="1"/>
      <sheetData sheetId="4" refreshError="1"/>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or Rate"/>
      <sheetName val="Comprative chart"/>
      <sheetName val="RA Road Original"/>
      <sheetName val="RA DTO "/>
      <sheetName val="Breakdown of SG &amp; WBM"/>
      <sheetName val=" Final EStimate "/>
      <sheetName val="Abstract of man &amp; pitch"/>
      <sheetName val="EStimate of Manhole"/>
      <sheetName val="Rate analysis of Road"/>
      <sheetName val="EStimate &amp; Abs.Sheet"/>
      <sheetName val="Surve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4"/>
  <sheetViews>
    <sheetView view="pageBreakPreview" zoomScaleNormal="100" zoomScaleSheetLayoutView="100" workbookViewId="0">
      <selection activeCell="B5" sqref="B5"/>
    </sheetView>
  </sheetViews>
  <sheetFormatPr defaultColWidth="9.28515625" defaultRowHeight="12.75"/>
  <cols>
    <col min="1" max="1" width="9.28515625" style="5"/>
    <col min="2" max="2" width="26.140625" style="5" customWidth="1"/>
    <col min="3" max="3" width="19.7109375" style="5" customWidth="1"/>
    <col min="4" max="4" width="27.28515625" style="5" customWidth="1"/>
    <col min="5" max="5" width="23.5703125" style="5" customWidth="1"/>
    <col min="6" max="16384" width="9.28515625" style="5"/>
  </cols>
  <sheetData>
    <row r="1" spans="1:5" ht="129.6" customHeight="1">
      <c r="A1" s="1571" t="s">
        <v>2363</v>
      </c>
      <c r="B1" s="1571"/>
      <c r="C1" s="1571"/>
      <c r="D1" s="1571"/>
      <c r="E1" s="1571"/>
    </row>
    <row r="2" spans="1:5" ht="24">
      <c r="A2" s="1572" t="s">
        <v>1875</v>
      </c>
      <c r="B2" s="1572"/>
      <c r="C2" s="1572"/>
      <c r="D2" s="1572"/>
      <c r="E2" s="1572"/>
    </row>
    <row r="3" spans="1:5" ht="24">
      <c r="A3" s="261" t="s">
        <v>1876</v>
      </c>
      <c r="B3" s="261" t="s">
        <v>1877</v>
      </c>
      <c r="C3" s="261" t="s">
        <v>1878</v>
      </c>
      <c r="D3" s="261" t="s">
        <v>1879</v>
      </c>
      <c r="E3" s="261" t="s">
        <v>1880</v>
      </c>
    </row>
    <row r="4" spans="1:5" ht="24">
      <c r="A4" s="1573" t="s">
        <v>2364</v>
      </c>
      <c r="B4" s="1574"/>
      <c r="C4" s="1574"/>
      <c r="D4" s="1574"/>
      <c r="E4" s="1575"/>
    </row>
    <row r="5" spans="1:5" ht="24">
      <c r="A5" s="262">
        <v>1</v>
      </c>
      <c r="B5" s="259" t="s">
        <v>1881</v>
      </c>
      <c r="C5" s="259" t="s">
        <v>1882</v>
      </c>
      <c r="D5" s="259" t="s">
        <v>1837</v>
      </c>
      <c r="E5" s="259"/>
    </row>
    <row r="6" spans="1:5" ht="24">
      <c r="A6" s="262">
        <v>2</v>
      </c>
      <c r="B6" s="259"/>
      <c r="C6" s="259"/>
      <c r="D6" s="259"/>
      <c r="E6" s="259"/>
    </row>
    <row r="7" spans="1:5" ht="24">
      <c r="A7" s="262">
        <v>3</v>
      </c>
      <c r="B7" s="259"/>
      <c r="C7" s="259"/>
      <c r="D7" s="259"/>
      <c r="E7" s="259"/>
    </row>
    <row r="8" spans="1:5" ht="24">
      <c r="A8" s="262">
        <v>4</v>
      </c>
      <c r="B8" s="259"/>
      <c r="C8" s="259"/>
      <c r="D8" s="259"/>
      <c r="E8" s="259"/>
    </row>
    <row r="9" spans="1:5" ht="24">
      <c r="A9" s="262">
        <v>5</v>
      </c>
      <c r="B9" s="259"/>
      <c r="C9" s="259"/>
      <c r="D9" s="259"/>
      <c r="E9" s="259"/>
    </row>
    <row r="10" spans="1:5" ht="24">
      <c r="A10" s="262">
        <v>6</v>
      </c>
      <c r="B10" s="259"/>
      <c r="C10" s="259"/>
      <c r="D10" s="259"/>
      <c r="E10" s="259"/>
    </row>
    <row r="11" spans="1:5" ht="24">
      <c r="A11" s="262">
        <v>7</v>
      </c>
      <c r="B11" s="259"/>
      <c r="C11" s="259"/>
      <c r="D11" s="259"/>
      <c r="E11" s="259"/>
    </row>
    <row r="12" spans="1:5" ht="24">
      <c r="A12" s="262">
        <v>8</v>
      </c>
      <c r="B12" s="259"/>
      <c r="C12" s="259"/>
      <c r="D12" s="259"/>
      <c r="E12" s="259"/>
    </row>
    <row r="13" spans="1:5" ht="24">
      <c r="A13" s="262">
        <v>9</v>
      </c>
      <c r="B13" s="259"/>
      <c r="C13" s="259"/>
      <c r="D13" s="259"/>
      <c r="E13" s="259"/>
    </row>
    <row r="14" spans="1:5" ht="24">
      <c r="A14" s="262">
        <v>10</v>
      </c>
      <c r="B14" s="259"/>
      <c r="C14" s="259"/>
      <c r="D14" s="259"/>
      <c r="E14" s="259"/>
    </row>
    <row r="15" spans="1:5" ht="24">
      <c r="A15" s="262">
        <v>11</v>
      </c>
      <c r="B15" s="259"/>
      <c r="C15" s="259"/>
      <c r="D15" s="259"/>
      <c r="E15" s="259"/>
    </row>
    <row r="16" spans="1:5" ht="24">
      <c r="A16" s="262">
        <v>12</v>
      </c>
      <c r="B16" s="259"/>
      <c r="C16" s="259"/>
      <c r="D16" s="259"/>
      <c r="E16" s="259"/>
    </row>
    <row r="17" spans="1:5" ht="24">
      <c r="A17" s="262">
        <v>13</v>
      </c>
      <c r="B17" s="259"/>
      <c r="C17" s="259"/>
      <c r="D17" s="259"/>
      <c r="E17" s="259"/>
    </row>
    <row r="18" spans="1:5" ht="24">
      <c r="A18" s="262">
        <v>14</v>
      </c>
      <c r="B18" s="259"/>
      <c r="C18" s="259"/>
      <c r="D18" s="259"/>
      <c r="E18" s="259"/>
    </row>
    <row r="19" spans="1:5" ht="24">
      <c r="A19" s="262">
        <v>15</v>
      </c>
      <c r="B19" s="259"/>
      <c r="C19" s="259"/>
      <c r="D19" s="259"/>
      <c r="E19" s="259"/>
    </row>
    <row r="20" spans="1:5" ht="24">
      <c r="A20" s="262">
        <v>16</v>
      </c>
      <c r="B20" s="259"/>
      <c r="C20" s="259"/>
      <c r="D20" s="259"/>
      <c r="E20" s="259"/>
    </row>
    <row r="21" spans="1:5" ht="24">
      <c r="A21" s="262">
        <v>17</v>
      </c>
      <c r="B21" s="259"/>
      <c r="C21" s="259"/>
      <c r="D21" s="259"/>
      <c r="E21" s="259"/>
    </row>
    <row r="22" spans="1:5" ht="24">
      <c r="A22" s="262">
        <v>18</v>
      </c>
      <c r="B22" s="259"/>
      <c r="C22" s="259"/>
      <c r="D22" s="259"/>
      <c r="E22" s="259"/>
    </row>
    <row r="23" spans="1:5" ht="24">
      <c r="A23" s="262">
        <v>19</v>
      </c>
      <c r="B23" s="259"/>
      <c r="C23" s="259"/>
      <c r="D23" s="259"/>
      <c r="E23" s="259"/>
    </row>
    <row r="24" spans="1:5" ht="24">
      <c r="A24" s="262">
        <v>20</v>
      </c>
      <c r="B24" s="259"/>
      <c r="C24" s="259"/>
      <c r="D24" s="259"/>
      <c r="E24" s="259"/>
    </row>
    <row r="25" spans="1:5" ht="24">
      <c r="A25" s="262">
        <v>21</v>
      </c>
      <c r="B25" s="259"/>
      <c r="C25" s="259"/>
      <c r="D25" s="259"/>
      <c r="E25" s="259"/>
    </row>
    <row r="26" spans="1:5" ht="19.5">
      <c r="A26" s="260"/>
      <c r="B26" s="260"/>
      <c r="C26" s="260"/>
      <c r="D26" s="260"/>
      <c r="E26" s="260"/>
    </row>
    <row r="27" spans="1:5" ht="19.5">
      <c r="A27" s="260"/>
      <c r="B27" s="260"/>
      <c r="C27" s="260"/>
      <c r="D27" s="260"/>
      <c r="E27" s="260"/>
    </row>
    <row r="28" spans="1:5" ht="19.5">
      <c r="A28" s="260"/>
      <c r="B28" s="260"/>
      <c r="C28" s="260"/>
      <c r="D28" s="260"/>
      <c r="E28" s="260"/>
    </row>
    <row r="29" spans="1:5" ht="19.5">
      <c r="A29" s="260"/>
      <c r="B29" s="260"/>
      <c r="C29" s="260"/>
      <c r="D29" s="260"/>
      <c r="E29" s="260"/>
    </row>
    <row r="30" spans="1:5" ht="19.5">
      <c r="A30" s="260"/>
      <c r="B30" s="260"/>
      <c r="C30" s="260"/>
      <c r="D30" s="260"/>
      <c r="E30" s="260"/>
    </row>
    <row r="31" spans="1:5" ht="19.5">
      <c r="A31" s="260"/>
      <c r="B31" s="260"/>
      <c r="C31" s="260"/>
      <c r="D31" s="260"/>
      <c r="E31" s="260"/>
    </row>
    <row r="32" spans="1:5" ht="19.5">
      <c r="A32" s="260"/>
      <c r="B32" s="260"/>
      <c r="C32" s="260"/>
      <c r="D32" s="260"/>
      <c r="E32" s="260"/>
    </row>
    <row r="33" spans="1:5" ht="19.5">
      <c r="A33" s="260"/>
      <c r="B33" s="260"/>
      <c r="C33" s="260"/>
      <c r="D33" s="260"/>
      <c r="E33" s="260"/>
    </row>
    <row r="34" spans="1:5" ht="19.5">
      <c r="A34" s="260"/>
      <c r="B34" s="260"/>
      <c r="C34" s="260"/>
      <c r="D34" s="260"/>
      <c r="E34" s="260"/>
    </row>
    <row r="35" spans="1:5" ht="19.5">
      <c r="A35" s="260"/>
      <c r="B35" s="260"/>
      <c r="C35" s="260"/>
      <c r="D35" s="260"/>
      <c r="E35" s="260"/>
    </row>
    <row r="36" spans="1:5" ht="19.5">
      <c r="A36" s="257"/>
      <c r="B36" s="257"/>
      <c r="C36" s="257"/>
      <c r="D36" s="257"/>
      <c r="E36" s="257"/>
    </row>
    <row r="37" spans="1:5" ht="14.25" customHeight="1">
      <c r="A37" s="1570"/>
      <c r="B37" s="1570"/>
      <c r="C37" s="1570"/>
      <c r="D37" s="1570"/>
      <c r="E37" s="1570"/>
    </row>
    <row r="38" spans="1:5" ht="43.5" customHeight="1">
      <c r="A38" s="998"/>
      <c r="B38" s="998"/>
      <c r="C38" s="998"/>
      <c r="D38" s="998"/>
      <c r="E38" s="998"/>
    </row>
    <row r="39" spans="1:5" ht="19.5">
      <c r="A39" s="257"/>
      <c r="B39" s="257"/>
      <c r="C39" s="257"/>
      <c r="D39" s="257"/>
      <c r="E39" s="257"/>
    </row>
    <row r="40" spans="1:5" ht="19.5">
      <c r="A40" s="257"/>
      <c r="B40" s="257"/>
      <c r="C40" s="257"/>
      <c r="D40" s="257"/>
      <c r="E40" s="257"/>
    </row>
    <row r="41" spans="1:5" ht="19.5">
      <c r="A41" s="257"/>
      <c r="B41" s="257"/>
      <c r="C41" s="257"/>
      <c r="D41" s="257"/>
      <c r="E41" s="257"/>
    </row>
    <row r="42" spans="1:5" ht="19.5">
      <c r="A42" s="257"/>
      <c r="B42" s="257"/>
      <c r="C42" s="257"/>
      <c r="D42" s="257"/>
      <c r="E42" s="257"/>
    </row>
    <row r="43" spans="1:5" ht="19.5">
      <c r="A43" s="257"/>
      <c r="B43" s="257"/>
      <c r="C43" s="257"/>
      <c r="D43" s="257"/>
      <c r="E43" s="257"/>
    </row>
    <row r="44" spans="1:5" ht="19.5">
      <c r="A44" s="257"/>
      <c r="B44" s="257"/>
      <c r="C44" s="257"/>
      <c r="D44" s="257"/>
      <c r="E44" s="257"/>
    </row>
    <row r="45" spans="1:5" ht="19.5">
      <c r="A45" s="257"/>
      <c r="B45" s="257"/>
      <c r="C45" s="257"/>
      <c r="D45" s="257"/>
      <c r="E45" s="257"/>
    </row>
    <row r="46" spans="1:5" ht="19.5">
      <c r="A46" s="257"/>
      <c r="B46" s="257"/>
      <c r="C46" s="257"/>
      <c r="D46" s="257"/>
      <c r="E46" s="257"/>
    </row>
    <row r="47" spans="1:5" ht="19.5">
      <c r="A47" s="257"/>
      <c r="B47" s="257"/>
      <c r="C47" s="257"/>
      <c r="D47" s="257"/>
      <c r="E47" s="257"/>
    </row>
    <row r="48" spans="1:5" ht="19.5">
      <c r="A48" s="257"/>
      <c r="B48" s="257"/>
      <c r="C48" s="257"/>
      <c r="D48" s="257"/>
      <c r="E48" s="257"/>
    </row>
    <row r="49" spans="1:5" ht="19.5">
      <c r="A49" s="257"/>
      <c r="B49" s="257"/>
      <c r="C49" s="257"/>
      <c r="D49" s="257"/>
      <c r="E49" s="257"/>
    </row>
    <row r="50" spans="1:5" ht="19.5">
      <c r="A50" s="257"/>
      <c r="B50" s="257"/>
      <c r="C50" s="257"/>
      <c r="D50" s="257"/>
      <c r="E50" s="257"/>
    </row>
    <row r="51" spans="1:5" ht="19.5">
      <c r="A51" s="257"/>
      <c r="B51" s="257"/>
      <c r="C51" s="257"/>
      <c r="D51" s="257"/>
      <c r="E51" s="257"/>
    </row>
    <row r="52" spans="1:5" ht="19.5">
      <c r="A52" s="257"/>
      <c r="B52" s="257"/>
      <c r="C52" s="257"/>
      <c r="D52" s="257"/>
      <c r="E52" s="257"/>
    </row>
    <row r="53" spans="1:5" ht="19.5">
      <c r="A53" s="257"/>
      <c r="B53" s="257"/>
      <c r="C53" s="257"/>
      <c r="D53" s="257"/>
      <c r="E53" s="257"/>
    </row>
    <row r="54" spans="1:5" ht="19.5">
      <c r="A54" s="257"/>
      <c r="B54" s="257"/>
      <c r="C54" s="257"/>
      <c r="D54" s="257"/>
      <c r="E54" s="257"/>
    </row>
    <row r="55" spans="1:5" ht="19.5">
      <c r="A55" s="257"/>
      <c r="B55" s="257"/>
      <c r="C55" s="257"/>
      <c r="D55" s="257"/>
      <c r="E55" s="257"/>
    </row>
    <row r="56" spans="1:5" ht="19.5">
      <c r="A56" s="257"/>
      <c r="B56" s="257"/>
      <c r="C56" s="257"/>
      <c r="D56" s="257"/>
      <c r="E56" s="257"/>
    </row>
    <row r="57" spans="1:5" ht="19.5">
      <c r="A57" s="257"/>
      <c r="B57" s="257"/>
      <c r="C57" s="257"/>
      <c r="D57" s="257"/>
      <c r="E57" s="257"/>
    </row>
    <row r="58" spans="1:5" ht="19.5">
      <c r="A58" s="257"/>
      <c r="B58" s="257"/>
      <c r="C58" s="257"/>
      <c r="D58" s="257"/>
      <c r="E58" s="257"/>
    </row>
    <row r="59" spans="1:5" ht="19.5">
      <c r="A59" s="257"/>
      <c r="B59" s="257"/>
      <c r="C59" s="257"/>
      <c r="D59" s="257"/>
      <c r="E59" s="257"/>
    </row>
    <row r="60" spans="1:5" ht="19.5">
      <c r="A60" s="257"/>
      <c r="B60" s="257"/>
      <c r="C60" s="257"/>
      <c r="D60" s="257"/>
      <c r="E60" s="257"/>
    </row>
    <row r="61" spans="1:5" ht="19.5">
      <c r="A61" s="257"/>
      <c r="B61" s="257"/>
      <c r="C61" s="257"/>
      <c r="D61" s="257"/>
      <c r="E61" s="257"/>
    </row>
    <row r="62" spans="1:5" ht="19.5">
      <c r="A62" s="257"/>
      <c r="B62" s="257"/>
      <c r="C62" s="257"/>
      <c r="D62" s="257"/>
      <c r="E62" s="257"/>
    </row>
    <row r="63" spans="1:5" ht="19.5">
      <c r="A63" s="257"/>
      <c r="B63" s="257"/>
      <c r="C63" s="257"/>
      <c r="D63" s="257"/>
      <c r="E63" s="257"/>
    </row>
    <row r="64" spans="1:5" ht="19.5">
      <c r="A64" s="257"/>
      <c r="B64" s="257"/>
      <c r="C64" s="257"/>
      <c r="D64" s="257"/>
      <c r="E64" s="257"/>
    </row>
    <row r="65" spans="1:5" ht="19.5">
      <c r="A65" s="257"/>
      <c r="B65" s="257"/>
      <c r="C65" s="257"/>
      <c r="D65" s="257"/>
      <c r="E65" s="257"/>
    </row>
    <row r="66" spans="1:5" ht="19.5">
      <c r="A66" s="257"/>
      <c r="B66" s="257"/>
      <c r="C66" s="257"/>
      <c r="D66" s="257"/>
      <c r="E66" s="257"/>
    </row>
    <row r="67" spans="1:5" ht="19.5">
      <c r="A67" s="257"/>
      <c r="B67" s="257"/>
      <c r="C67" s="257"/>
      <c r="D67" s="257"/>
      <c r="E67" s="257"/>
    </row>
    <row r="68" spans="1:5" ht="19.5">
      <c r="A68" s="257"/>
      <c r="B68" s="257"/>
      <c r="C68" s="257"/>
      <c r="D68" s="257"/>
      <c r="E68" s="257"/>
    </row>
    <row r="69" spans="1:5" ht="19.5">
      <c r="A69" s="257"/>
      <c r="B69" s="257"/>
      <c r="C69" s="257"/>
      <c r="D69" s="257"/>
      <c r="E69" s="257"/>
    </row>
    <row r="70" spans="1:5" ht="19.5">
      <c r="A70" s="257"/>
      <c r="B70" s="257"/>
      <c r="C70" s="257"/>
      <c r="D70" s="257"/>
      <c r="E70" s="257"/>
    </row>
    <row r="71" spans="1:5" ht="19.5">
      <c r="A71" s="257"/>
      <c r="B71" s="257"/>
      <c r="C71" s="257"/>
      <c r="D71" s="257"/>
      <c r="E71" s="257"/>
    </row>
    <row r="72" spans="1:5" ht="19.5">
      <c r="A72" s="257"/>
      <c r="B72" s="257"/>
      <c r="C72" s="257"/>
      <c r="D72" s="257"/>
      <c r="E72" s="257"/>
    </row>
    <row r="73" spans="1:5" ht="19.5">
      <c r="A73" s="257"/>
      <c r="B73" s="257"/>
      <c r="C73" s="257"/>
      <c r="D73" s="257"/>
      <c r="E73" s="257"/>
    </row>
    <row r="74" spans="1:5" ht="19.5">
      <c r="A74" s="257"/>
      <c r="B74" s="257"/>
      <c r="C74" s="257"/>
      <c r="D74" s="257"/>
      <c r="E74" s="257"/>
    </row>
    <row r="75" spans="1:5" ht="19.5">
      <c r="A75" s="257"/>
      <c r="B75" s="257"/>
      <c r="C75" s="257"/>
      <c r="D75" s="257"/>
      <c r="E75" s="257"/>
    </row>
    <row r="76" spans="1:5" ht="19.5">
      <c r="A76" s="257"/>
      <c r="B76" s="257"/>
      <c r="C76" s="257"/>
      <c r="D76" s="257"/>
      <c r="E76" s="257"/>
    </row>
    <row r="77" spans="1:5" ht="19.5">
      <c r="A77" s="257"/>
      <c r="B77" s="257"/>
      <c r="C77" s="257"/>
      <c r="D77" s="257"/>
      <c r="E77" s="257"/>
    </row>
    <row r="78" spans="1:5" ht="19.5">
      <c r="A78" s="257"/>
      <c r="B78" s="257"/>
      <c r="C78" s="257"/>
      <c r="D78" s="257"/>
      <c r="E78" s="257"/>
    </row>
    <row r="79" spans="1:5" ht="19.5">
      <c r="A79" s="257"/>
      <c r="B79" s="257"/>
      <c r="C79" s="257"/>
      <c r="D79" s="257"/>
      <c r="E79" s="257"/>
    </row>
    <row r="80" spans="1:5" ht="19.5">
      <c r="A80" s="257"/>
      <c r="B80" s="257"/>
      <c r="C80" s="257"/>
      <c r="D80" s="257"/>
      <c r="E80" s="257"/>
    </row>
    <row r="81" spans="1:5" ht="19.5">
      <c r="A81" s="257"/>
      <c r="B81" s="257"/>
      <c r="C81" s="257"/>
      <c r="D81" s="257"/>
      <c r="E81" s="257"/>
    </row>
    <row r="82" spans="1:5" ht="19.5">
      <c r="A82" s="257"/>
      <c r="B82" s="257"/>
      <c r="C82" s="257"/>
      <c r="D82" s="257"/>
      <c r="E82" s="257"/>
    </row>
    <row r="83" spans="1:5" ht="19.5">
      <c r="A83" s="257"/>
      <c r="B83" s="257"/>
      <c r="C83" s="257"/>
      <c r="D83" s="257"/>
      <c r="E83" s="257"/>
    </row>
    <row r="84" spans="1:5" ht="19.5">
      <c r="A84" s="257"/>
      <c r="B84" s="257"/>
      <c r="C84" s="257"/>
      <c r="D84" s="257"/>
      <c r="E84" s="257"/>
    </row>
    <row r="85" spans="1:5" ht="19.5">
      <c r="A85" s="257"/>
      <c r="B85" s="257"/>
      <c r="C85" s="257"/>
      <c r="D85" s="257"/>
      <c r="E85" s="257"/>
    </row>
    <row r="86" spans="1:5" ht="19.5">
      <c r="A86" s="257"/>
      <c r="B86" s="257"/>
      <c r="C86" s="257"/>
      <c r="D86" s="257"/>
      <c r="E86" s="257"/>
    </row>
    <row r="87" spans="1:5" ht="19.5">
      <c r="A87" s="257"/>
      <c r="B87" s="257"/>
      <c r="C87" s="257"/>
      <c r="D87" s="257"/>
      <c r="E87" s="257"/>
    </row>
    <row r="88" spans="1:5" ht="19.5">
      <c r="A88" s="257"/>
      <c r="B88" s="257"/>
      <c r="C88" s="257"/>
      <c r="D88" s="257"/>
      <c r="E88" s="257"/>
    </row>
    <row r="89" spans="1:5" ht="19.5">
      <c r="A89" s="257"/>
      <c r="B89" s="257"/>
      <c r="C89" s="257"/>
      <c r="D89" s="257"/>
      <c r="E89" s="257"/>
    </row>
    <row r="90" spans="1:5" ht="19.5">
      <c r="A90" s="257"/>
      <c r="B90" s="257"/>
      <c r="C90" s="257"/>
      <c r="D90" s="257"/>
      <c r="E90" s="257"/>
    </row>
    <row r="91" spans="1:5" ht="19.5">
      <c r="A91" s="257"/>
      <c r="B91" s="257"/>
      <c r="C91" s="257"/>
      <c r="D91" s="257"/>
      <c r="E91" s="257"/>
    </row>
    <row r="92" spans="1:5" ht="19.5">
      <c r="A92" s="257"/>
      <c r="B92" s="257"/>
      <c r="C92" s="257"/>
      <c r="D92" s="257"/>
      <c r="E92" s="257"/>
    </row>
    <row r="93" spans="1:5" ht="19.5">
      <c r="A93" s="257"/>
      <c r="B93" s="257"/>
      <c r="C93" s="257"/>
      <c r="D93" s="257"/>
      <c r="E93" s="257"/>
    </row>
    <row r="94" spans="1:5" ht="19.5">
      <c r="A94" s="257"/>
      <c r="B94" s="257"/>
      <c r="C94" s="257"/>
      <c r="D94" s="257"/>
      <c r="E94" s="257"/>
    </row>
    <row r="95" spans="1:5" ht="19.5">
      <c r="A95" s="257"/>
      <c r="B95" s="257"/>
      <c r="C95" s="257"/>
      <c r="D95" s="257"/>
      <c r="E95" s="257"/>
    </row>
    <row r="96" spans="1:5" ht="19.5">
      <c r="A96" s="257"/>
      <c r="B96" s="257"/>
      <c r="C96" s="257"/>
      <c r="D96" s="257"/>
      <c r="E96" s="257"/>
    </row>
    <row r="97" spans="1:5" ht="19.5">
      <c r="A97" s="257"/>
      <c r="B97" s="257"/>
      <c r="C97" s="257"/>
      <c r="D97" s="257"/>
      <c r="E97" s="257"/>
    </row>
    <row r="98" spans="1:5" ht="19.5">
      <c r="A98" s="257"/>
      <c r="B98" s="257"/>
      <c r="C98" s="257"/>
      <c r="D98" s="257"/>
      <c r="E98" s="257"/>
    </row>
    <row r="99" spans="1:5" ht="19.5">
      <c r="A99" s="257"/>
      <c r="B99" s="257"/>
      <c r="C99" s="257"/>
      <c r="D99" s="257"/>
      <c r="E99" s="257"/>
    </row>
    <row r="100" spans="1:5" ht="19.5">
      <c r="A100" s="257"/>
      <c r="B100" s="257"/>
      <c r="C100" s="257"/>
      <c r="D100" s="257"/>
      <c r="E100" s="257"/>
    </row>
    <row r="101" spans="1:5" ht="19.5">
      <c r="A101" s="257"/>
      <c r="B101" s="257"/>
      <c r="C101" s="257"/>
      <c r="D101" s="257"/>
      <c r="E101" s="257"/>
    </row>
    <row r="102" spans="1:5" ht="19.5">
      <c r="A102" s="257"/>
      <c r="B102" s="257"/>
      <c r="C102" s="257"/>
      <c r="D102" s="257"/>
      <c r="E102" s="257"/>
    </row>
    <row r="103" spans="1:5" ht="19.5">
      <c r="A103" s="257"/>
      <c r="B103" s="257"/>
      <c r="C103" s="257"/>
      <c r="D103" s="257"/>
      <c r="E103" s="257"/>
    </row>
    <row r="104" spans="1:5" ht="19.5">
      <c r="A104" s="257"/>
      <c r="B104" s="257"/>
      <c r="C104" s="257"/>
      <c r="D104" s="257"/>
      <c r="E104" s="257"/>
    </row>
    <row r="105" spans="1:5" ht="19.5">
      <c r="A105" s="257"/>
      <c r="B105" s="257"/>
      <c r="C105" s="257"/>
      <c r="D105" s="257"/>
      <c r="E105" s="257"/>
    </row>
    <row r="106" spans="1:5" ht="19.5">
      <c r="A106" s="257"/>
      <c r="B106" s="257"/>
      <c r="C106" s="257"/>
      <c r="D106" s="257"/>
      <c r="E106" s="257"/>
    </row>
    <row r="107" spans="1:5" ht="19.5">
      <c r="A107" s="257"/>
      <c r="B107" s="257"/>
      <c r="C107" s="257"/>
      <c r="D107" s="257"/>
      <c r="E107" s="257"/>
    </row>
    <row r="108" spans="1:5" ht="19.5">
      <c r="A108" s="257"/>
      <c r="B108" s="257"/>
      <c r="C108" s="257"/>
      <c r="D108" s="257"/>
      <c r="E108" s="257"/>
    </row>
    <row r="109" spans="1:5" ht="19.5">
      <c r="A109" s="257"/>
      <c r="B109" s="257"/>
      <c r="C109" s="257"/>
      <c r="D109" s="257"/>
      <c r="E109" s="257"/>
    </row>
    <row r="110" spans="1:5" ht="19.5">
      <c r="A110" s="257"/>
      <c r="B110" s="257"/>
      <c r="C110" s="257"/>
      <c r="D110" s="257"/>
      <c r="E110" s="257"/>
    </row>
    <row r="111" spans="1:5" ht="19.5">
      <c r="A111" s="257"/>
      <c r="B111" s="257"/>
      <c r="C111" s="257"/>
      <c r="D111" s="257"/>
      <c r="E111" s="257"/>
    </row>
    <row r="112" spans="1:5" ht="19.5">
      <c r="A112" s="257"/>
      <c r="B112" s="257"/>
      <c r="C112" s="257"/>
      <c r="D112" s="257"/>
      <c r="E112" s="257"/>
    </row>
    <row r="113" spans="1:5" ht="19.5">
      <c r="A113" s="257"/>
      <c r="B113" s="257"/>
      <c r="C113" s="257"/>
      <c r="D113" s="257"/>
      <c r="E113" s="257"/>
    </row>
    <row r="114" spans="1:5" ht="19.5">
      <c r="A114" s="257"/>
      <c r="B114" s="257"/>
      <c r="C114" s="257"/>
      <c r="D114" s="257"/>
      <c r="E114" s="257"/>
    </row>
  </sheetData>
  <mergeCells count="4">
    <mergeCell ref="A37:E37"/>
    <mergeCell ref="A1:E1"/>
    <mergeCell ref="A2:E2"/>
    <mergeCell ref="A4:E4"/>
  </mergeCells>
  <pageMargins left="1.24" right="0.19" top="1.03" bottom="0.73" header="0.5" footer="0.56999999999999995"/>
  <pageSetup paperSize="9" scale="82"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K29"/>
  <sheetViews>
    <sheetView tabSelected="1" view="pageBreakPreview" topLeftCell="A7" zoomScaleNormal="100" zoomScaleSheetLayoutView="100" workbookViewId="0">
      <selection activeCell="D24" sqref="D24"/>
    </sheetView>
  </sheetViews>
  <sheetFormatPr defaultColWidth="9.28515625" defaultRowHeight="18"/>
  <cols>
    <col min="1" max="4" width="9.28515625" style="1"/>
    <col min="5" max="5" width="9.42578125" style="1" customWidth="1"/>
    <col min="6" max="9" width="9.28515625" style="1"/>
    <col min="10" max="10" width="13.7109375" style="1" customWidth="1"/>
    <col min="11" max="11" width="1.42578125" style="1" customWidth="1"/>
    <col min="12" max="16384" width="9.28515625" style="1"/>
  </cols>
  <sheetData>
    <row r="1" spans="1:11" ht="22.5">
      <c r="A1" s="1584"/>
      <c r="B1" s="1585"/>
      <c r="C1" s="1585"/>
      <c r="D1" s="1585"/>
      <c r="E1" s="1585"/>
      <c r="F1" s="1585"/>
      <c r="G1" s="1585"/>
      <c r="H1" s="1585"/>
      <c r="I1" s="1585"/>
      <c r="J1" s="1585"/>
      <c r="K1" s="1058"/>
    </row>
    <row r="2" spans="1:11">
      <c r="A2" s="2"/>
      <c r="B2" s="3"/>
      <c r="C2" s="3"/>
      <c r="D2" s="3"/>
      <c r="E2" s="3"/>
      <c r="F2" s="3"/>
      <c r="G2" s="3"/>
      <c r="H2" s="3"/>
      <c r="I2" s="3"/>
      <c r="J2" s="3"/>
      <c r="K2" s="1059"/>
    </row>
    <row r="3" spans="1:11">
      <c r="A3" s="2"/>
      <c r="B3" s="3"/>
      <c r="C3" s="3"/>
      <c r="D3" s="3"/>
      <c r="E3" s="3"/>
      <c r="F3" s="3"/>
      <c r="G3" s="3"/>
      <c r="H3" s="3"/>
      <c r="I3" s="3"/>
      <c r="J3" s="3"/>
      <c r="K3" s="1059"/>
    </row>
    <row r="4" spans="1:11">
      <c r="A4" s="2"/>
      <c r="B4" s="3"/>
      <c r="C4" s="3"/>
      <c r="D4" s="3"/>
      <c r="E4" s="3"/>
      <c r="F4" s="3"/>
      <c r="G4" s="3"/>
      <c r="H4" s="3"/>
      <c r="I4" s="3"/>
      <c r="J4" s="3"/>
      <c r="K4" s="1059"/>
    </row>
    <row r="5" spans="1:11">
      <c r="A5" s="2"/>
      <c r="B5" s="3"/>
      <c r="C5" s="3"/>
      <c r="D5" s="3"/>
      <c r="E5" s="3"/>
      <c r="F5" s="3"/>
      <c r="G5" s="3"/>
      <c r="H5" s="3"/>
      <c r="I5" s="3"/>
      <c r="J5" s="3"/>
      <c r="K5" s="1059"/>
    </row>
    <row r="6" spans="1:11">
      <c r="A6" s="2"/>
      <c r="B6" s="3"/>
      <c r="C6" s="3"/>
      <c r="D6" s="3"/>
      <c r="E6" s="3"/>
      <c r="F6" s="3"/>
      <c r="G6" s="3"/>
      <c r="H6" s="3"/>
      <c r="I6" s="3"/>
      <c r="J6" s="3"/>
      <c r="K6" s="1059"/>
    </row>
    <row r="7" spans="1:11" ht="47.25">
      <c r="A7" s="1586" t="s">
        <v>1837</v>
      </c>
      <c r="B7" s="1587"/>
      <c r="C7" s="1587"/>
      <c r="D7" s="1587"/>
      <c r="E7" s="1587"/>
      <c r="F7" s="1587"/>
      <c r="G7" s="1587"/>
      <c r="H7" s="1587"/>
      <c r="I7" s="1587"/>
      <c r="J7" s="1587"/>
      <c r="K7" s="1059"/>
    </row>
    <row r="8" spans="1:11" ht="30.75">
      <c r="A8" s="1580" t="s">
        <v>1838</v>
      </c>
      <c r="B8" s="1581"/>
      <c r="C8" s="1581"/>
      <c r="D8" s="1581"/>
      <c r="E8" s="1581"/>
      <c r="F8" s="1581"/>
      <c r="G8" s="1581"/>
      <c r="H8" s="1581"/>
      <c r="I8" s="1581"/>
      <c r="J8" s="1581"/>
      <c r="K8" s="1059"/>
    </row>
    <row r="9" spans="1:11">
      <c r="A9" s="2"/>
      <c r="B9" s="3"/>
      <c r="C9" s="3"/>
      <c r="D9" s="3"/>
      <c r="E9" s="3"/>
      <c r="F9" s="3"/>
      <c r="G9" s="3"/>
      <c r="H9" s="3"/>
      <c r="I9" s="3"/>
      <c r="J9" s="3"/>
      <c r="K9" s="1059"/>
    </row>
    <row r="10" spans="1:11">
      <c r="A10" s="2"/>
      <c r="B10" s="3"/>
      <c r="C10" s="3"/>
      <c r="D10" s="3"/>
      <c r="E10" s="3"/>
      <c r="F10" s="3"/>
      <c r="G10" s="3"/>
      <c r="H10" s="3"/>
      <c r="I10" s="3"/>
      <c r="J10" s="3"/>
      <c r="K10" s="1059"/>
    </row>
    <row r="11" spans="1:11" ht="18.75" thickBot="1">
      <c r="A11" s="2"/>
      <c r="B11" s="3"/>
      <c r="C11" s="3"/>
      <c r="D11" s="3"/>
      <c r="E11" s="3"/>
      <c r="F11" s="3"/>
      <c r="G11" s="3"/>
      <c r="H11" s="3"/>
      <c r="I11" s="3"/>
      <c r="J11" s="3"/>
      <c r="K11" s="1059"/>
    </row>
    <row r="12" spans="1:11" ht="30.75">
      <c r="A12" s="1590" t="s">
        <v>2542</v>
      </c>
      <c r="B12" s="1591"/>
      <c r="C12" s="1591"/>
      <c r="D12" s="1591"/>
      <c r="E12" s="1591"/>
      <c r="F12" s="1591"/>
      <c r="G12" s="1591"/>
      <c r="H12" s="1591"/>
      <c r="I12" s="1591"/>
      <c r="J12" s="1591"/>
      <c r="K12" s="1058"/>
    </row>
    <row r="13" spans="1:11" ht="58.15" customHeight="1">
      <c r="A13" s="1588" t="s">
        <v>2830</v>
      </c>
      <c r="B13" s="1589"/>
      <c r="C13" s="1589"/>
      <c r="D13" s="1589"/>
      <c r="E13" s="1589"/>
      <c r="F13" s="1589"/>
      <c r="G13" s="1589"/>
      <c r="H13" s="1589"/>
      <c r="I13" s="1589"/>
      <c r="J13" s="1589"/>
      <c r="K13" s="1062"/>
    </row>
    <row r="14" spans="1:11" ht="31.5" thickBot="1">
      <c r="A14" s="1592" t="s">
        <v>2978</v>
      </c>
      <c r="B14" s="1593"/>
      <c r="C14" s="1593"/>
      <c r="D14" s="1593"/>
      <c r="E14" s="1593"/>
      <c r="F14" s="1593"/>
      <c r="G14" s="1593"/>
      <c r="H14" s="1593"/>
      <c r="I14" s="1593"/>
      <c r="J14" s="1593"/>
      <c r="K14" s="1061"/>
    </row>
    <row r="15" spans="1:11">
      <c r="A15" s="2"/>
      <c r="B15" s="3"/>
      <c r="C15" s="3"/>
      <c r="D15" s="3"/>
      <c r="E15" s="3"/>
      <c r="F15" s="3"/>
      <c r="G15" s="3"/>
      <c r="H15" s="3"/>
      <c r="I15" s="3"/>
      <c r="J15" s="3"/>
      <c r="K15" s="1059"/>
    </row>
    <row r="16" spans="1:11">
      <c r="A16" s="2"/>
      <c r="B16" s="3"/>
      <c r="C16" s="3"/>
      <c r="D16" s="3"/>
      <c r="E16" s="3"/>
      <c r="F16" s="3"/>
      <c r="G16" s="3"/>
      <c r="H16" s="3"/>
      <c r="I16" s="3"/>
      <c r="J16" s="3"/>
      <c r="K16" s="1059"/>
    </row>
    <row r="17" spans="1:11">
      <c r="A17" s="2"/>
      <c r="B17" s="3"/>
      <c r="C17" s="3"/>
      <c r="D17" s="3"/>
      <c r="E17" s="3"/>
      <c r="F17" s="3"/>
      <c r="G17" s="3"/>
      <c r="H17" s="3"/>
      <c r="I17" s="3"/>
      <c r="J17" s="3"/>
      <c r="K17" s="1059"/>
    </row>
    <row r="18" spans="1:11">
      <c r="A18" s="2"/>
      <c r="B18" s="3"/>
      <c r="C18" s="3"/>
      <c r="D18" s="3"/>
      <c r="E18" s="3"/>
      <c r="F18" s="3"/>
      <c r="G18" s="3"/>
      <c r="H18" s="1060"/>
      <c r="I18" s="1060"/>
      <c r="J18" s="3"/>
      <c r="K18" s="1059"/>
    </row>
    <row r="19" spans="1:11">
      <c r="A19" s="2"/>
      <c r="B19" s="3"/>
      <c r="C19" s="3"/>
      <c r="D19" s="3"/>
      <c r="E19" s="3"/>
      <c r="F19" s="3"/>
      <c r="G19" s="3"/>
      <c r="H19" s="3"/>
      <c r="I19" s="3"/>
      <c r="J19" s="3"/>
      <c r="K19" s="1059"/>
    </row>
    <row r="20" spans="1:11">
      <c r="A20" s="2"/>
      <c r="B20" s="3"/>
      <c r="C20" s="3"/>
      <c r="D20" s="3"/>
      <c r="E20" s="3"/>
      <c r="F20" s="3"/>
      <c r="G20" s="3"/>
      <c r="H20" s="3"/>
      <c r="I20" s="3"/>
      <c r="J20" s="3"/>
      <c r="K20" s="1059"/>
    </row>
    <row r="21" spans="1:11">
      <c r="A21" s="2"/>
      <c r="B21" s="3"/>
      <c r="C21" s="3"/>
      <c r="D21" s="3"/>
      <c r="E21" s="3"/>
      <c r="F21" s="3"/>
      <c r="G21" s="3"/>
      <c r="H21" s="3"/>
      <c r="I21" s="3"/>
      <c r="J21" s="3"/>
      <c r="K21" s="1059"/>
    </row>
    <row r="22" spans="1:11">
      <c r="A22" s="2"/>
      <c r="B22" s="3"/>
      <c r="C22" s="3"/>
      <c r="D22" s="3"/>
      <c r="E22" s="3"/>
      <c r="F22" s="3"/>
      <c r="G22" s="3"/>
      <c r="H22" s="3"/>
      <c r="I22" s="3"/>
      <c r="J22" s="3"/>
      <c r="K22" s="1059"/>
    </row>
    <row r="23" spans="1:11">
      <c r="A23" s="2"/>
      <c r="B23" s="3"/>
      <c r="C23" s="3"/>
      <c r="D23" s="3"/>
      <c r="E23" s="3"/>
      <c r="F23" s="3"/>
      <c r="G23" s="3"/>
      <c r="H23" s="3"/>
      <c r="I23" s="3"/>
      <c r="J23" s="3"/>
      <c r="K23" s="1059"/>
    </row>
    <row r="24" spans="1:11">
      <c r="A24" s="2"/>
      <c r="B24" s="3"/>
      <c r="C24" s="3"/>
      <c r="D24" s="3"/>
      <c r="E24" s="3"/>
      <c r="F24" s="3"/>
      <c r="G24" s="3"/>
      <c r="H24" s="3"/>
      <c r="I24" s="3"/>
      <c r="J24" s="3"/>
      <c r="K24" s="1059"/>
    </row>
    <row r="25" spans="1:11" ht="72.599999999999994" customHeight="1">
      <c r="A25" s="2"/>
      <c r="B25" s="3"/>
      <c r="C25" s="3"/>
      <c r="D25" s="3"/>
      <c r="E25" s="3"/>
      <c r="F25" s="3"/>
      <c r="G25" s="3"/>
      <c r="H25" s="3"/>
      <c r="I25" s="3"/>
      <c r="J25" s="3"/>
      <c r="K25" s="1059"/>
    </row>
    <row r="26" spans="1:11" ht="28.5">
      <c r="A26" s="1578" t="s">
        <v>1850</v>
      </c>
      <c r="B26" s="1579"/>
      <c r="C26" s="1579"/>
      <c r="D26" s="1579"/>
      <c r="E26" s="1579"/>
      <c r="F26" s="1579"/>
      <c r="G26" s="1579"/>
      <c r="H26" s="1579"/>
      <c r="I26" s="1579"/>
      <c r="J26" s="1579"/>
      <c r="K26" s="1059"/>
    </row>
    <row r="27" spans="1:11" ht="30.75">
      <c r="A27" s="1580" t="s">
        <v>2970</v>
      </c>
      <c r="B27" s="1581"/>
      <c r="C27" s="1581"/>
      <c r="D27" s="1581"/>
      <c r="E27" s="1581"/>
      <c r="F27" s="1581"/>
      <c r="G27" s="1581"/>
      <c r="H27" s="1581"/>
      <c r="I27" s="1581"/>
      <c r="J27" s="1581"/>
      <c r="K27" s="1059"/>
    </row>
    <row r="28" spans="1:11" ht="28.5">
      <c r="A28" s="1582" t="s">
        <v>1838</v>
      </c>
      <c r="B28" s="1583"/>
      <c r="C28" s="1583"/>
      <c r="D28" s="1583"/>
      <c r="E28" s="1583"/>
      <c r="F28" s="1583"/>
      <c r="G28" s="1583"/>
      <c r="H28" s="1583"/>
      <c r="I28" s="1583"/>
      <c r="J28" s="1583"/>
      <c r="K28" s="1059"/>
    </row>
    <row r="29" spans="1:11" ht="29.25" thickBot="1">
      <c r="A29" s="1576"/>
      <c r="B29" s="1577"/>
      <c r="C29" s="1577"/>
      <c r="D29" s="1577"/>
      <c r="E29" s="1577"/>
      <c r="F29" s="1577"/>
      <c r="G29" s="1577"/>
      <c r="H29" s="1577"/>
      <c r="I29" s="1577"/>
      <c r="J29" s="1577"/>
      <c r="K29" s="1061"/>
    </row>
  </sheetData>
  <mergeCells count="10">
    <mergeCell ref="A29:J29"/>
    <mergeCell ref="A26:J26"/>
    <mergeCell ref="A27:J27"/>
    <mergeCell ref="A28:J28"/>
    <mergeCell ref="A1:J1"/>
    <mergeCell ref="A7:J7"/>
    <mergeCell ref="A8:J8"/>
    <mergeCell ref="A13:J13"/>
    <mergeCell ref="A12:J12"/>
    <mergeCell ref="A14:J14"/>
  </mergeCells>
  <phoneticPr fontId="105" type="noConversion"/>
  <printOptions horizontalCentered="1" verticalCentered="1"/>
  <pageMargins left="0.77" right="0.2" top="0.75" bottom="0.75" header="0.3" footer="0.3"/>
  <pageSetup paperSize="9" scale="9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B25"/>
  <sheetViews>
    <sheetView tabSelected="1" view="pageBreakPreview" topLeftCell="A3" zoomScale="145" zoomScaleNormal="100" zoomScaleSheetLayoutView="145" workbookViewId="0">
      <selection activeCell="D24" sqref="D24"/>
    </sheetView>
  </sheetViews>
  <sheetFormatPr defaultColWidth="9.28515625" defaultRowHeight="12.75"/>
  <cols>
    <col min="1" max="1" width="9.28515625" style="5"/>
    <col min="2" max="2" width="93.85546875" style="5" customWidth="1"/>
    <col min="3" max="16384" width="9.28515625" style="5"/>
  </cols>
  <sheetData>
    <row r="1" spans="1:2" ht="24">
      <c r="A1" s="1594" t="s">
        <v>1883</v>
      </c>
      <c r="B1" s="1594"/>
    </row>
    <row r="2" spans="1:2" ht="24">
      <c r="A2" s="997" t="s">
        <v>1884</v>
      </c>
      <c r="B2" s="997" t="s">
        <v>1885</v>
      </c>
    </row>
    <row r="3" spans="1:2" ht="96">
      <c r="A3" s="263">
        <v>1</v>
      </c>
      <c r="B3" s="1038" t="s">
        <v>2979</v>
      </c>
    </row>
    <row r="4" spans="1:2" ht="72">
      <c r="A4" s="263">
        <v>2</v>
      </c>
      <c r="B4" s="1039" t="s">
        <v>2243</v>
      </c>
    </row>
    <row r="5" spans="1:2" ht="82.9" customHeight="1">
      <c r="A5" s="263">
        <v>3</v>
      </c>
      <c r="B5" s="1039" t="s">
        <v>2300</v>
      </c>
    </row>
    <row r="6" spans="1:2" ht="96">
      <c r="A6" s="263">
        <v>4</v>
      </c>
      <c r="B6" s="1039" t="s">
        <v>2980</v>
      </c>
    </row>
    <row r="7" spans="1:2" ht="96">
      <c r="A7" s="263">
        <v>5</v>
      </c>
      <c r="B7" s="1039" t="s">
        <v>1886</v>
      </c>
    </row>
    <row r="8" spans="1:2" ht="19.5">
      <c r="A8" s="260"/>
      <c r="B8" s="260"/>
    </row>
    <row r="9" spans="1:2" ht="19.5">
      <c r="A9" s="257"/>
      <c r="B9" s="257"/>
    </row>
    <row r="10" spans="1:2" ht="19.5">
      <c r="A10" s="257"/>
      <c r="B10" s="257"/>
    </row>
    <row r="11" spans="1:2" ht="19.5">
      <c r="A11" s="257"/>
      <c r="B11" s="257"/>
    </row>
    <row r="12" spans="1:2" ht="19.5">
      <c r="A12" s="257"/>
      <c r="B12" s="257"/>
    </row>
    <row r="13" spans="1:2" ht="19.5">
      <c r="A13" s="257"/>
      <c r="B13" s="257"/>
    </row>
    <row r="14" spans="1:2" ht="19.5">
      <c r="A14" s="257"/>
      <c r="B14" s="257"/>
    </row>
    <row r="15" spans="1:2" ht="19.5">
      <c r="A15" s="257"/>
      <c r="B15" s="257"/>
    </row>
    <row r="16" spans="1:2" ht="19.5">
      <c r="A16" s="257"/>
      <c r="B16" s="257"/>
    </row>
    <row r="17" spans="1:2" ht="19.5">
      <c r="A17" s="257"/>
      <c r="B17" s="257"/>
    </row>
    <row r="18" spans="1:2" ht="19.5">
      <c r="A18" s="257"/>
      <c r="B18" s="257"/>
    </row>
    <row r="19" spans="1:2" ht="19.5">
      <c r="A19" s="257"/>
      <c r="B19" s="257"/>
    </row>
    <row r="20" spans="1:2" ht="19.5">
      <c r="A20" s="257"/>
      <c r="B20" s="257"/>
    </row>
    <row r="21" spans="1:2" ht="19.5">
      <c r="A21" s="257"/>
      <c r="B21" s="257"/>
    </row>
    <row r="22" spans="1:2" ht="19.5">
      <c r="A22" s="257"/>
      <c r="B22" s="257"/>
    </row>
    <row r="23" spans="1:2" ht="19.5">
      <c r="A23" s="257"/>
      <c r="B23" s="257"/>
    </row>
    <row r="24" spans="1:2" ht="19.5">
      <c r="A24" s="257"/>
      <c r="B24" s="257"/>
    </row>
    <row r="25" spans="1:2" ht="19.5">
      <c r="A25" s="257"/>
      <c r="B25" s="257"/>
    </row>
  </sheetData>
  <mergeCells count="1">
    <mergeCell ref="A1:B1"/>
  </mergeCells>
  <pageMargins left="1.24" right="0.19" top="1.03" bottom="0.73" header="0.5" footer="0.56999999999999995"/>
  <pageSetup paperSize="9" scale="8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C86"/>
  <sheetViews>
    <sheetView view="pageBreakPreview" zoomScaleNormal="100" zoomScaleSheetLayoutView="100" workbookViewId="0">
      <selection activeCell="B19" sqref="B19"/>
    </sheetView>
  </sheetViews>
  <sheetFormatPr defaultColWidth="9.28515625" defaultRowHeight="17.25"/>
  <cols>
    <col min="1" max="1" width="7.5703125" style="185" customWidth="1"/>
    <col min="2" max="2" width="60.28515625" style="185" customWidth="1"/>
    <col min="3" max="3" width="14.28515625" style="185" customWidth="1"/>
    <col min="4" max="4" width="13" style="185" customWidth="1"/>
    <col min="5" max="16384" width="9.28515625" style="185"/>
  </cols>
  <sheetData>
    <row r="1" spans="1:3" ht="24.75" thickBot="1">
      <c r="A1" s="1595" t="s">
        <v>1887</v>
      </c>
      <c r="B1" s="1595"/>
      <c r="C1" s="1595"/>
    </row>
    <row r="2" spans="1:3" ht="24.75" thickBot="1">
      <c r="A2" s="831" t="s">
        <v>1839</v>
      </c>
      <c r="B2" s="832" t="s">
        <v>1889</v>
      </c>
      <c r="C2" s="833" t="s">
        <v>1888</v>
      </c>
    </row>
    <row r="3" spans="1:3" ht="23.25">
      <c r="A3" s="168"/>
      <c r="B3" s="834" t="s">
        <v>1841</v>
      </c>
      <c r="C3" s="170"/>
    </row>
    <row r="4" spans="1:3" ht="23.25">
      <c r="A4" s="169"/>
      <c r="B4" s="835" t="s">
        <v>1890</v>
      </c>
      <c r="C4" s="171"/>
    </row>
    <row r="5" spans="1:3" ht="20.100000000000001" customHeight="1">
      <c r="A5" s="249">
        <v>1</v>
      </c>
      <c r="B5" s="245" t="s">
        <v>2244</v>
      </c>
      <c r="C5" s="1037" t="s">
        <v>2498</v>
      </c>
    </row>
    <row r="6" spans="1:3" ht="20.100000000000001" customHeight="1">
      <c r="A6" s="250">
        <v>2</v>
      </c>
      <c r="B6" s="246" t="s">
        <v>2245</v>
      </c>
      <c r="C6" s="1037" t="s">
        <v>2499</v>
      </c>
    </row>
    <row r="7" spans="1:3" ht="20.100000000000001" customHeight="1">
      <c r="A7" s="250">
        <v>3</v>
      </c>
      <c r="B7" s="246" t="s">
        <v>1842</v>
      </c>
      <c r="C7" s="1037" t="s">
        <v>2500</v>
      </c>
    </row>
    <row r="8" spans="1:3" ht="20.100000000000001" customHeight="1">
      <c r="A8" s="249">
        <v>4</v>
      </c>
      <c r="B8" s="246" t="s">
        <v>1843</v>
      </c>
      <c r="C8" s="1037" t="s">
        <v>2501</v>
      </c>
    </row>
    <row r="9" spans="1:3" ht="20.100000000000001" customHeight="1">
      <c r="A9" s="250">
        <v>5</v>
      </c>
      <c r="B9" s="246" t="s">
        <v>2284</v>
      </c>
      <c r="C9" s="1037" t="s">
        <v>2502</v>
      </c>
    </row>
    <row r="10" spans="1:3" ht="20.100000000000001" customHeight="1">
      <c r="A10" s="250">
        <v>6</v>
      </c>
      <c r="B10" s="246" t="s">
        <v>2285</v>
      </c>
      <c r="C10" s="1037" t="s">
        <v>2503</v>
      </c>
    </row>
    <row r="11" spans="1:3" ht="20.100000000000001" customHeight="1">
      <c r="A11" s="249">
        <v>7</v>
      </c>
      <c r="B11" s="246" t="s">
        <v>2287</v>
      </c>
      <c r="C11" s="1037" t="s">
        <v>2504</v>
      </c>
    </row>
    <row r="12" spans="1:3" ht="20.100000000000001" customHeight="1">
      <c r="A12" s="251">
        <v>7.1</v>
      </c>
      <c r="B12" s="246" t="s">
        <v>2288</v>
      </c>
      <c r="C12" s="1037" t="s">
        <v>2505</v>
      </c>
    </row>
    <row r="13" spans="1:3" ht="20.100000000000001" customHeight="1">
      <c r="A13" s="251">
        <v>7.2</v>
      </c>
      <c r="B13" s="246" t="s">
        <v>1844</v>
      </c>
      <c r="C13" s="1037" t="s">
        <v>2506</v>
      </c>
    </row>
    <row r="14" spans="1:3" ht="20.100000000000001" customHeight="1">
      <c r="A14" s="251">
        <v>7.3</v>
      </c>
      <c r="B14" s="246" t="s">
        <v>2289</v>
      </c>
      <c r="C14" s="1037" t="s">
        <v>2507</v>
      </c>
    </row>
    <row r="15" spans="1:3" ht="20.100000000000001" customHeight="1">
      <c r="A15" s="251">
        <v>7.4</v>
      </c>
      <c r="B15" s="246" t="s">
        <v>2291</v>
      </c>
      <c r="C15" s="1037" t="s">
        <v>2508</v>
      </c>
    </row>
    <row r="16" spans="1:3" ht="20.100000000000001" customHeight="1">
      <c r="A16" s="251">
        <v>7.5</v>
      </c>
      <c r="B16" s="246" t="s">
        <v>2292</v>
      </c>
      <c r="C16" s="1037" t="s">
        <v>2509</v>
      </c>
    </row>
    <row r="17" spans="1:3" ht="20.100000000000001" customHeight="1">
      <c r="A17" s="251">
        <v>7.6</v>
      </c>
      <c r="B17" s="246" t="s">
        <v>2293</v>
      </c>
      <c r="C17" s="1037" t="s">
        <v>2510</v>
      </c>
    </row>
    <row r="18" spans="1:3" ht="20.100000000000001" customHeight="1">
      <c r="A18" s="251">
        <v>7.7</v>
      </c>
      <c r="B18" s="246" t="s">
        <v>1845</v>
      </c>
      <c r="C18" s="1037" t="s">
        <v>2511</v>
      </c>
    </row>
    <row r="19" spans="1:3" ht="20.100000000000001" customHeight="1">
      <c r="A19" s="250">
        <v>8</v>
      </c>
      <c r="B19" s="246" t="s">
        <v>2294</v>
      </c>
      <c r="C19" s="1037" t="s">
        <v>2512</v>
      </c>
    </row>
    <row r="20" spans="1:3" ht="20.100000000000001" customHeight="1">
      <c r="A20" s="250">
        <v>9</v>
      </c>
      <c r="B20" s="246" t="s">
        <v>1846</v>
      </c>
      <c r="C20" s="1037" t="s">
        <v>2513</v>
      </c>
    </row>
    <row r="21" spans="1:3" ht="20.100000000000001" customHeight="1">
      <c r="A21" s="250">
        <v>10</v>
      </c>
      <c r="B21" s="246" t="s">
        <v>1847</v>
      </c>
      <c r="C21" s="1037" t="s">
        <v>2514</v>
      </c>
    </row>
    <row r="22" spans="1:3" ht="20.100000000000001" customHeight="1">
      <c r="A22" s="250">
        <v>11</v>
      </c>
      <c r="B22" s="246" t="s">
        <v>1848</v>
      </c>
      <c r="C22" s="1037" t="s">
        <v>2515</v>
      </c>
    </row>
    <row r="23" spans="1:3" ht="20.100000000000001" customHeight="1">
      <c r="A23" s="250">
        <v>12</v>
      </c>
      <c r="B23" s="246" t="s">
        <v>2296</v>
      </c>
      <c r="C23" s="1037" t="s">
        <v>2516</v>
      </c>
    </row>
    <row r="24" spans="1:3" ht="20.100000000000001" customHeight="1">
      <c r="A24" s="250">
        <v>13</v>
      </c>
      <c r="B24" s="246" t="s">
        <v>1849</v>
      </c>
      <c r="C24" s="1037" t="s">
        <v>2517</v>
      </c>
    </row>
    <row r="25" spans="1:3" ht="20.100000000000001" customHeight="1">
      <c r="A25" s="250">
        <v>14</v>
      </c>
      <c r="B25" s="246" t="s">
        <v>2297</v>
      </c>
      <c r="C25" s="1037" t="s">
        <v>2518</v>
      </c>
    </row>
    <row r="26" spans="1:3" ht="20.100000000000001" customHeight="1">
      <c r="A26" s="250">
        <v>15</v>
      </c>
      <c r="B26" s="246" t="s">
        <v>2298</v>
      </c>
      <c r="C26" s="1037" t="s">
        <v>2519</v>
      </c>
    </row>
    <row r="27" spans="1:3" ht="20.100000000000001" customHeight="1">
      <c r="A27" s="250">
        <v>16</v>
      </c>
      <c r="B27" s="247" t="s">
        <v>2299</v>
      </c>
      <c r="C27" s="1037" t="s">
        <v>2520</v>
      </c>
    </row>
    <row r="28" spans="1:3" ht="20.25" customHeight="1" thickBot="1">
      <c r="A28" s="186"/>
      <c r="B28" s="248"/>
      <c r="C28" s="1036"/>
    </row>
    <row r="29" spans="1:3" ht="20.100000000000001" customHeight="1">
      <c r="A29" s="187"/>
      <c r="B29" s="184"/>
      <c r="C29" s="184"/>
    </row>
    <row r="30" spans="1:3" ht="20.100000000000001" customHeight="1">
      <c r="A30" s="187"/>
      <c r="B30" s="184"/>
      <c r="C30" s="184"/>
    </row>
    <row r="31" spans="1:3" ht="20.100000000000001" customHeight="1">
      <c r="A31" s="187"/>
      <c r="B31" s="184"/>
      <c r="C31" s="184"/>
    </row>
    <row r="32" spans="1:3" ht="20.100000000000001" customHeight="1">
      <c r="A32" s="187"/>
      <c r="B32" s="184"/>
      <c r="C32" s="184"/>
    </row>
    <row r="33" spans="1:3" ht="20.100000000000001" customHeight="1">
      <c r="A33" s="187"/>
      <c r="B33" s="184"/>
      <c r="C33" s="184"/>
    </row>
    <row r="34" spans="1:3" ht="20.100000000000001" customHeight="1">
      <c r="A34" s="187"/>
      <c r="B34" s="184"/>
      <c r="C34" s="184"/>
    </row>
    <row r="35" spans="1:3" ht="20.100000000000001" customHeight="1"/>
    <row r="36" spans="1:3" ht="20.100000000000001" customHeight="1"/>
    <row r="37" spans="1:3" ht="20.100000000000001" customHeight="1"/>
    <row r="38" spans="1:3" ht="20.100000000000001" customHeight="1"/>
    <row r="39" spans="1:3" ht="20.100000000000001" customHeight="1"/>
    <row r="40" spans="1:3" ht="20.100000000000001" customHeight="1"/>
    <row r="41" spans="1:3" ht="20.100000000000001" customHeight="1"/>
    <row r="42" spans="1:3" ht="20.100000000000001" customHeight="1"/>
    <row r="43" spans="1:3" ht="20.100000000000001" customHeight="1"/>
    <row r="44" spans="1:3" ht="20.100000000000001" customHeight="1"/>
    <row r="45" spans="1:3" ht="20.100000000000001" customHeight="1"/>
    <row r="46" spans="1:3" ht="20.100000000000001" customHeight="1"/>
    <row r="47" spans="1:3" ht="20.100000000000001" customHeight="1"/>
    <row r="48" spans="1:3"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sheetData>
  <mergeCells count="1">
    <mergeCell ref="A1:C1"/>
  </mergeCells>
  <phoneticPr fontId="105" type="noConversion"/>
  <printOptions horizontalCentered="1"/>
  <pageMargins left="0.81" right="0.2" top="0.75" bottom="0.75" header="0.3" footer="0.3"/>
  <pageSetup paperSize="9" fitToHeight="0" orientation="portrait" r:id="rId1"/>
  <headerFooter>
    <oddHeader>&amp;Lजिल्ला : नवलपरासी (ब.सु.प.)
&amp;Rजिल्ला दररेट आ.व.२०८२/०८३</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U37"/>
  <sheetViews>
    <sheetView tabSelected="1" showWhiteSpace="0" view="pageBreakPreview" zoomScale="115" zoomScaleNormal="100" zoomScaleSheetLayoutView="115" workbookViewId="0">
      <selection activeCell="D24" sqref="D24"/>
    </sheetView>
  </sheetViews>
  <sheetFormatPr defaultColWidth="9.28515625" defaultRowHeight="12.75"/>
  <cols>
    <col min="1" max="1" width="7.140625" style="5" customWidth="1"/>
    <col min="2" max="2" width="46.28515625" style="5" customWidth="1"/>
    <col min="3" max="3" width="12.7109375" style="5" customWidth="1"/>
    <col min="4" max="4" width="10.28515625" style="5" hidden="1" customWidth="1"/>
    <col min="5" max="6" width="10.7109375" style="5" hidden="1" customWidth="1"/>
    <col min="7" max="9" width="11.42578125" style="5" hidden="1" customWidth="1"/>
    <col min="10" max="10" width="17.5703125" style="5" hidden="1" customWidth="1"/>
    <col min="11" max="11" width="15.7109375" style="5" hidden="1" customWidth="1"/>
    <col min="12" max="13" width="15.7109375" style="5" bestFit="1" customWidth="1"/>
    <col min="14" max="14" width="15.7109375" style="5" customWidth="1"/>
    <col min="15" max="15" width="11.28515625" style="5" customWidth="1"/>
    <col min="16" max="16" width="7.7109375" style="5" customWidth="1"/>
    <col min="17" max="17" width="9.28515625" style="5"/>
    <col min="18" max="18" width="13.5703125" style="5" customWidth="1"/>
    <col min="19" max="19" width="11.7109375" style="5" customWidth="1"/>
    <col min="20" max="16384" width="9.28515625" style="5"/>
  </cols>
  <sheetData>
    <row r="1" spans="1:21" s="4" customFormat="1" ht="26.25" customHeight="1" thickBot="1">
      <c r="A1" s="1599" t="s">
        <v>2040</v>
      </c>
      <c r="B1" s="1599"/>
      <c r="C1" s="1599"/>
      <c r="D1" s="1599"/>
      <c r="E1" s="1599"/>
      <c r="F1" s="1599"/>
      <c r="G1" s="1599"/>
      <c r="H1" s="1599"/>
      <c r="I1" s="1599"/>
      <c r="J1" s="1599"/>
      <c r="K1" s="1599"/>
      <c r="L1" s="1599"/>
      <c r="M1" s="1599"/>
      <c r="N1" s="1599"/>
      <c r="O1" s="1599"/>
      <c r="P1" s="255"/>
    </row>
    <row r="2" spans="1:21" ht="66.599999999999994" customHeight="1">
      <c r="A2" s="890" t="s">
        <v>7</v>
      </c>
      <c r="B2" s="891" t="s">
        <v>1</v>
      </c>
      <c r="C2" s="892" t="s">
        <v>8</v>
      </c>
      <c r="D2" s="893"/>
      <c r="E2" s="893"/>
      <c r="F2" s="893"/>
      <c r="G2" s="486" t="s">
        <v>1417</v>
      </c>
      <c r="H2" s="486" t="s">
        <v>1428</v>
      </c>
      <c r="I2" s="486" t="s">
        <v>1432</v>
      </c>
      <c r="J2" s="666" t="s">
        <v>2195</v>
      </c>
      <c r="K2" s="666" t="s">
        <v>2190</v>
      </c>
      <c r="L2" s="666" t="s">
        <v>2191</v>
      </c>
      <c r="M2" s="666" t="s">
        <v>2192</v>
      </c>
      <c r="N2" s="666" t="s">
        <v>2543</v>
      </c>
      <c r="O2" s="894" t="s">
        <v>9</v>
      </c>
      <c r="P2" s="270"/>
      <c r="R2" s="815" t="s">
        <v>1872</v>
      </c>
      <c r="S2" s="815" t="s">
        <v>1873</v>
      </c>
      <c r="T2" s="815" t="s">
        <v>1874</v>
      </c>
      <c r="U2" s="815" t="s">
        <v>486</v>
      </c>
    </row>
    <row r="3" spans="1:21" ht="85.9" customHeight="1">
      <c r="A3" s="895">
        <v>1</v>
      </c>
      <c r="B3" s="344" t="s">
        <v>2013</v>
      </c>
      <c r="C3" s="272" t="s">
        <v>1851</v>
      </c>
      <c r="D3" s="7">
        <v>280</v>
      </c>
      <c r="E3" s="7">
        <v>370</v>
      </c>
      <c r="F3" s="7">
        <v>395</v>
      </c>
      <c r="G3" s="7">
        <v>800</v>
      </c>
      <c r="H3" s="7">
        <f>800+20</f>
        <v>820</v>
      </c>
      <c r="I3" s="7">
        <f>800+20+20</f>
        <v>840</v>
      </c>
      <c r="J3" s="347">
        <v>900</v>
      </c>
      <c r="K3" s="347">
        <f>J3</f>
        <v>900</v>
      </c>
      <c r="L3" s="1480">
        <v>945</v>
      </c>
      <c r="M3" s="1480">
        <v>965</v>
      </c>
      <c r="N3" s="1481">
        <f>Q3</f>
        <v>1025</v>
      </c>
      <c r="O3" s="896"/>
      <c r="P3" s="264"/>
      <c r="Q3" s="5">
        <f>ROUND(106%*M3/5,0)*5</f>
        <v>1025</v>
      </c>
      <c r="R3" s="256" t="s">
        <v>2544</v>
      </c>
      <c r="S3" s="794">
        <v>109.43</v>
      </c>
      <c r="T3" s="814">
        <v>6.3E-2</v>
      </c>
      <c r="U3" s="256" t="s">
        <v>2545</v>
      </c>
    </row>
    <row r="4" spans="1:21" s="13" customFormat="1" ht="36">
      <c r="A4" s="895">
        <f>A3+1</f>
        <v>2</v>
      </c>
      <c r="B4" s="252" t="s">
        <v>2546</v>
      </c>
      <c r="C4" s="272" t="s">
        <v>1851</v>
      </c>
      <c r="D4" s="12"/>
      <c r="E4" s="12"/>
      <c r="F4" s="12"/>
      <c r="G4" s="7"/>
      <c r="H4" s="7"/>
      <c r="I4" s="7"/>
      <c r="J4" s="347"/>
      <c r="K4" s="348">
        <v>620</v>
      </c>
      <c r="L4" s="1482">
        <v>650</v>
      </c>
      <c r="M4" s="1482">
        <v>665</v>
      </c>
      <c r="N4" s="1481">
        <v>720</v>
      </c>
      <c r="O4" s="896"/>
      <c r="P4" s="264"/>
      <c r="Q4" s="5">
        <f t="shared" ref="Q4:Q6" si="0">ROUND(106%*M4/5,0)*5</f>
        <v>705</v>
      </c>
      <c r="R4" s="1559">
        <f t="shared" ref="R4:R17" si="1">(N4-M4)/M4</f>
        <v>8.2706766917293228E-2</v>
      </c>
      <c r="S4" s="5"/>
      <c r="T4" s="1250" t="s">
        <v>2831</v>
      </c>
    </row>
    <row r="5" spans="1:21" ht="46.5">
      <c r="A5" s="895">
        <f>A4+1</f>
        <v>3</v>
      </c>
      <c r="B5" s="344" t="s">
        <v>1921</v>
      </c>
      <c r="C5" s="272" t="s">
        <v>1851</v>
      </c>
      <c r="D5" s="7">
        <v>180</v>
      </c>
      <c r="E5" s="7">
        <v>230</v>
      </c>
      <c r="F5" s="7">
        <v>255</v>
      </c>
      <c r="G5" s="7">
        <v>550</v>
      </c>
      <c r="H5" s="7">
        <f>550+10</f>
        <v>560</v>
      </c>
      <c r="I5" s="7">
        <f>550+10+10</f>
        <v>570</v>
      </c>
      <c r="J5" s="347">
        <v>600</v>
      </c>
      <c r="K5" s="347">
        <f>J5</f>
        <v>600</v>
      </c>
      <c r="L5" s="1480">
        <v>648</v>
      </c>
      <c r="M5" s="1480">
        <v>660</v>
      </c>
      <c r="N5" s="1481">
        <v>720</v>
      </c>
      <c r="O5" s="896"/>
      <c r="P5" s="264"/>
      <c r="Q5" s="5">
        <f t="shared" si="0"/>
        <v>700</v>
      </c>
      <c r="R5" s="1559">
        <f t="shared" si="1"/>
        <v>9.0909090909090912E-2</v>
      </c>
    </row>
    <row r="6" spans="1:21" ht="46.5">
      <c r="A6" s="895">
        <f>A5+1</f>
        <v>4</v>
      </c>
      <c r="B6" s="252" t="s">
        <v>1903</v>
      </c>
      <c r="C6" s="272" t="s">
        <v>1853</v>
      </c>
      <c r="D6" s="8">
        <v>3450</v>
      </c>
      <c r="E6" s="8">
        <v>3800</v>
      </c>
      <c r="F6" s="8">
        <v>4060</v>
      </c>
      <c r="G6" s="345">
        <v>14000</v>
      </c>
      <c r="H6" s="7">
        <v>14300</v>
      </c>
      <c r="I6" s="7">
        <f>H6+10</f>
        <v>14310</v>
      </c>
      <c r="J6" s="347">
        <v>16000</v>
      </c>
      <c r="K6" s="347">
        <f>J6</f>
        <v>16000</v>
      </c>
      <c r="L6" s="1480">
        <v>17300</v>
      </c>
      <c r="M6" s="1480">
        <v>17645</v>
      </c>
      <c r="N6" s="1481">
        <f t="shared" ref="N6:N36" si="2">Q6</f>
        <v>18705</v>
      </c>
      <c r="O6" s="897"/>
      <c r="P6" s="265"/>
      <c r="Q6" s="5">
        <f t="shared" si="0"/>
        <v>18705</v>
      </c>
      <c r="R6" s="1559">
        <f t="shared" si="1"/>
        <v>6.0073675262113914E-2</v>
      </c>
    </row>
    <row r="7" spans="1:21" ht="36">
      <c r="A7" s="895">
        <f t="shared" ref="A7:A36" si="3">A6+1</f>
        <v>5</v>
      </c>
      <c r="B7" s="252" t="s">
        <v>1899</v>
      </c>
      <c r="C7" s="272" t="s">
        <v>1851</v>
      </c>
      <c r="D7" s="7">
        <v>180</v>
      </c>
      <c r="E7" s="7">
        <v>200</v>
      </c>
      <c r="F7" s="7">
        <v>260</v>
      </c>
      <c r="G7" s="7">
        <v>517</v>
      </c>
      <c r="H7" s="7">
        <v>527</v>
      </c>
      <c r="I7" s="7">
        <f>H7+10</f>
        <v>537</v>
      </c>
      <c r="J7" s="349">
        <v>575</v>
      </c>
      <c r="K7" s="349">
        <f>J7</f>
        <v>575</v>
      </c>
      <c r="L7" s="1483">
        <v>648</v>
      </c>
      <c r="M7" s="1483">
        <v>660</v>
      </c>
      <c r="N7" s="1481">
        <v>720</v>
      </c>
      <c r="O7" s="896"/>
      <c r="P7" s="264"/>
      <c r="Q7" s="5">
        <f>ROUND(106%*M7/5,0)*5</f>
        <v>700</v>
      </c>
      <c r="R7" s="1559">
        <f t="shared" si="1"/>
        <v>9.0909090909090912E-2</v>
      </c>
    </row>
    <row r="8" spans="1:21" ht="36">
      <c r="A8" s="895">
        <f t="shared" si="3"/>
        <v>6</v>
      </c>
      <c r="B8" s="252" t="s">
        <v>1893</v>
      </c>
      <c r="C8" s="272" t="s">
        <v>1851</v>
      </c>
      <c r="D8" s="7">
        <v>180</v>
      </c>
      <c r="E8" s="7">
        <v>230</v>
      </c>
      <c r="F8" s="7">
        <v>255</v>
      </c>
      <c r="G8" s="7">
        <v>650</v>
      </c>
      <c r="H8" s="7">
        <v>660</v>
      </c>
      <c r="I8" s="7">
        <f t="shared" ref="I8:I36" si="4">H8+10</f>
        <v>670</v>
      </c>
      <c r="J8" s="347">
        <v>700</v>
      </c>
      <c r="K8" s="347">
        <f t="shared" ref="K8:K27" si="5">J8</f>
        <v>700</v>
      </c>
      <c r="L8" s="1480">
        <v>735</v>
      </c>
      <c r="M8" s="1480">
        <v>750</v>
      </c>
      <c r="N8" s="1481">
        <f t="shared" si="2"/>
        <v>795</v>
      </c>
      <c r="O8" s="896"/>
      <c r="P8" s="264"/>
      <c r="Q8" s="5">
        <f t="shared" ref="Q8:Q11" si="6">ROUND(106%*M8/5,0)*5</f>
        <v>795</v>
      </c>
      <c r="R8" s="1559">
        <f t="shared" si="1"/>
        <v>0.06</v>
      </c>
    </row>
    <row r="9" spans="1:21" ht="20.100000000000001" customHeight="1">
      <c r="A9" s="895">
        <f t="shared" si="3"/>
        <v>7</v>
      </c>
      <c r="B9" s="252" t="s">
        <v>1922</v>
      </c>
      <c r="C9" s="268" t="s">
        <v>1853</v>
      </c>
      <c r="D9" s="7"/>
      <c r="E9" s="7"/>
      <c r="F9" s="7"/>
      <c r="G9" s="346">
        <v>1400</v>
      </c>
      <c r="H9" s="7">
        <v>1410</v>
      </c>
      <c r="I9" s="7">
        <f t="shared" si="4"/>
        <v>1420</v>
      </c>
      <c r="J9" s="347">
        <v>1500</v>
      </c>
      <c r="K9" s="347">
        <f t="shared" si="5"/>
        <v>1500</v>
      </c>
      <c r="L9" s="1480">
        <v>15000</v>
      </c>
      <c r="M9" s="1480">
        <v>15300</v>
      </c>
      <c r="N9" s="1481">
        <f t="shared" si="2"/>
        <v>16220</v>
      </c>
      <c r="O9" s="898"/>
      <c r="P9" s="271"/>
      <c r="Q9" s="5">
        <f t="shared" si="6"/>
        <v>16220</v>
      </c>
      <c r="R9" s="1559">
        <f t="shared" si="1"/>
        <v>6.0130718954248367E-2</v>
      </c>
    </row>
    <row r="10" spans="1:21" ht="46.5">
      <c r="A10" s="895">
        <f t="shared" si="3"/>
        <v>8</v>
      </c>
      <c r="B10" s="252" t="s">
        <v>1900</v>
      </c>
      <c r="C10" s="272" t="s">
        <v>1851</v>
      </c>
      <c r="D10" s="7"/>
      <c r="E10" s="7"/>
      <c r="F10" s="7">
        <v>225</v>
      </c>
      <c r="G10" s="7">
        <v>517</v>
      </c>
      <c r="H10" s="7">
        <v>527</v>
      </c>
      <c r="I10" s="7">
        <f t="shared" si="4"/>
        <v>537</v>
      </c>
      <c r="J10" s="349">
        <v>575</v>
      </c>
      <c r="K10" s="349">
        <f t="shared" si="5"/>
        <v>575</v>
      </c>
      <c r="L10" s="1480">
        <v>605</v>
      </c>
      <c r="M10" s="1480">
        <v>615</v>
      </c>
      <c r="N10" s="1484">
        <v>675</v>
      </c>
      <c r="O10" s="896"/>
      <c r="P10" s="264"/>
      <c r="Q10" s="5">
        <f t="shared" si="6"/>
        <v>650</v>
      </c>
      <c r="R10" s="1559">
        <f t="shared" si="1"/>
        <v>9.7560975609756101E-2</v>
      </c>
      <c r="T10" s="5">
        <f>668*1.06</f>
        <v>708.08</v>
      </c>
    </row>
    <row r="11" spans="1:21" ht="36">
      <c r="A11" s="895">
        <f t="shared" si="3"/>
        <v>9</v>
      </c>
      <c r="B11" s="252" t="s">
        <v>1904</v>
      </c>
      <c r="C11" s="272" t="s">
        <v>1851</v>
      </c>
      <c r="D11" s="7">
        <v>225</v>
      </c>
      <c r="E11" s="7">
        <v>245</v>
      </c>
      <c r="F11" s="7">
        <v>265</v>
      </c>
      <c r="G11" s="7">
        <v>517</v>
      </c>
      <c r="H11" s="7">
        <v>527</v>
      </c>
      <c r="I11" s="7">
        <f>H11+10</f>
        <v>537</v>
      </c>
      <c r="J11" s="349">
        <v>575</v>
      </c>
      <c r="K11" s="349">
        <f>J11</f>
        <v>575</v>
      </c>
      <c r="L11" s="1480">
        <v>605</v>
      </c>
      <c r="M11" s="1480">
        <v>615</v>
      </c>
      <c r="N11" s="1481">
        <f>N10</f>
        <v>675</v>
      </c>
      <c r="O11" s="896"/>
      <c r="P11" s="264"/>
      <c r="Q11" s="5">
        <f t="shared" si="6"/>
        <v>650</v>
      </c>
      <c r="R11" s="1559">
        <f t="shared" si="1"/>
        <v>9.7560975609756101E-2</v>
      </c>
    </row>
    <row r="12" spans="1:21" ht="36">
      <c r="A12" s="895">
        <f t="shared" si="3"/>
        <v>10</v>
      </c>
      <c r="B12" s="252" t="s">
        <v>1905</v>
      </c>
      <c r="C12" s="272" t="s">
        <v>1851</v>
      </c>
      <c r="D12" s="7">
        <v>225</v>
      </c>
      <c r="E12" s="7">
        <v>245</v>
      </c>
      <c r="F12" s="7">
        <v>265</v>
      </c>
      <c r="G12" s="7">
        <v>800</v>
      </c>
      <c r="H12" s="7">
        <v>810</v>
      </c>
      <c r="I12" s="7">
        <f>H12+10</f>
        <v>820</v>
      </c>
      <c r="J12" s="349">
        <v>860</v>
      </c>
      <c r="K12" s="349">
        <f>J12</f>
        <v>860</v>
      </c>
      <c r="L12" s="1483">
        <v>905</v>
      </c>
      <c r="M12" s="1483">
        <v>920</v>
      </c>
      <c r="N12" s="1481">
        <f t="shared" si="2"/>
        <v>975</v>
      </c>
      <c r="O12" s="896"/>
      <c r="P12" s="264"/>
      <c r="Q12" s="5">
        <f>ROUND(106%*M12/5,0)*5</f>
        <v>975</v>
      </c>
      <c r="R12" s="1559">
        <f>(N12-M12)/M12</f>
        <v>5.9782608695652176E-2</v>
      </c>
    </row>
    <row r="13" spans="1:21" ht="46.5">
      <c r="A13" s="895">
        <f t="shared" si="3"/>
        <v>11</v>
      </c>
      <c r="B13" s="252" t="s">
        <v>1918</v>
      </c>
      <c r="C13" s="272" t="s">
        <v>1851</v>
      </c>
      <c r="D13" s="7"/>
      <c r="E13" s="7"/>
      <c r="F13" s="7"/>
      <c r="G13" s="7">
        <v>1175</v>
      </c>
      <c r="H13" s="7">
        <v>1185</v>
      </c>
      <c r="I13" s="7">
        <f t="shared" si="4"/>
        <v>1195</v>
      </c>
      <c r="J13" s="349">
        <v>1250</v>
      </c>
      <c r="K13" s="349">
        <f t="shared" si="5"/>
        <v>1250</v>
      </c>
      <c r="L13" s="1483">
        <v>1315</v>
      </c>
      <c r="M13" s="1483">
        <v>1340</v>
      </c>
      <c r="N13" s="1481">
        <f t="shared" si="2"/>
        <v>1420</v>
      </c>
      <c r="O13" s="896"/>
      <c r="P13" s="264"/>
      <c r="Q13" s="5">
        <f t="shared" ref="Q13:Q17" si="7">ROUND(106%*M13/5,0)*5</f>
        <v>1420</v>
      </c>
      <c r="R13" s="1559">
        <f t="shared" si="1"/>
        <v>5.9701492537313432E-2</v>
      </c>
    </row>
    <row r="14" spans="1:21" ht="36">
      <c r="A14" s="895">
        <f t="shared" si="3"/>
        <v>12</v>
      </c>
      <c r="B14" s="252" t="s">
        <v>1907</v>
      </c>
      <c r="C14" s="272" t="s">
        <v>1851</v>
      </c>
      <c r="D14" s="7">
        <v>200</v>
      </c>
      <c r="E14" s="7">
        <v>220</v>
      </c>
      <c r="F14" s="7">
        <v>235</v>
      </c>
      <c r="G14" s="7">
        <v>540</v>
      </c>
      <c r="H14" s="7">
        <v>550</v>
      </c>
      <c r="I14" s="7">
        <f t="shared" si="4"/>
        <v>560</v>
      </c>
      <c r="J14" s="349">
        <v>600</v>
      </c>
      <c r="K14" s="349">
        <f t="shared" si="5"/>
        <v>600</v>
      </c>
      <c r="L14" s="1483">
        <v>630</v>
      </c>
      <c r="M14" s="1483">
        <v>645</v>
      </c>
      <c r="N14" s="1481">
        <v>700</v>
      </c>
      <c r="O14" s="896"/>
      <c r="P14" s="264"/>
      <c r="Q14" s="5">
        <f t="shared" si="7"/>
        <v>685</v>
      </c>
      <c r="R14" s="1559">
        <f t="shared" si="1"/>
        <v>8.5271317829457363E-2</v>
      </c>
    </row>
    <row r="15" spans="1:21" ht="36">
      <c r="A15" s="895">
        <f t="shared" si="3"/>
        <v>13</v>
      </c>
      <c r="B15" s="252" t="s">
        <v>1923</v>
      </c>
      <c r="C15" s="272" t="s">
        <v>1851</v>
      </c>
      <c r="D15" s="7">
        <v>200</v>
      </c>
      <c r="E15" s="7">
        <v>220</v>
      </c>
      <c r="F15" s="7">
        <v>235</v>
      </c>
      <c r="G15" s="7">
        <v>625</v>
      </c>
      <c r="H15" s="7">
        <v>635</v>
      </c>
      <c r="I15" s="7">
        <f t="shared" si="4"/>
        <v>645</v>
      </c>
      <c r="J15" s="349">
        <v>680</v>
      </c>
      <c r="K15" s="349">
        <f t="shared" si="5"/>
        <v>680</v>
      </c>
      <c r="L15" s="1483">
        <v>715</v>
      </c>
      <c r="M15" s="1483">
        <v>725</v>
      </c>
      <c r="N15" s="1481">
        <f t="shared" si="2"/>
        <v>770</v>
      </c>
      <c r="O15" s="896"/>
      <c r="P15" s="264"/>
      <c r="Q15" s="5">
        <f t="shared" si="7"/>
        <v>770</v>
      </c>
      <c r="R15" s="1559">
        <f t="shared" si="1"/>
        <v>6.2068965517241378E-2</v>
      </c>
    </row>
    <row r="16" spans="1:21" s="13" customFormat="1" ht="36">
      <c r="A16" s="895">
        <f t="shared" si="3"/>
        <v>14</v>
      </c>
      <c r="B16" s="252" t="s">
        <v>1894</v>
      </c>
      <c r="C16" s="272" t="s">
        <v>1851</v>
      </c>
      <c r="D16" s="12"/>
      <c r="E16" s="12"/>
      <c r="F16" s="12"/>
      <c r="G16" s="7"/>
      <c r="H16" s="7"/>
      <c r="I16" s="7"/>
      <c r="J16" s="349"/>
      <c r="K16" s="350">
        <v>609</v>
      </c>
      <c r="L16" s="1485">
        <v>640</v>
      </c>
      <c r="M16" s="1485">
        <v>655</v>
      </c>
      <c r="N16" s="1481">
        <v>720</v>
      </c>
      <c r="O16" s="896"/>
      <c r="P16" s="264"/>
      <c r="Q16" s="5">
        <f t="shared" si="7"/>
        <v>695</v>
      </c>
      <c r="R16" s="1559">
        <f t="shared" si="1"/>
        <v>9.9236641221374045E-2</v>
      </c>
      <c r="S16" s="5"/>
    </row>
    <row r="17" spans="1:19" ht="46.5">
      <c r="A17" s="895">
        <f t="shared" si="3"/>
        <v>15</v>
      </c>
      <c r="B17" s="252" t="s">
        <v>1895</v>
      </c>
      <c r="C17" s="272" t="s">
        <v>1851</v>
      </c>
      <c r="D17" s="7">
        <v>200</v>
      </c>
      <c r="E17" s="7">
        <v>220</v>
      </c>
      <c r="F17" s="7">
        <v>235</v>
      </c>
      <c r="G17" s="7">
        <v>545</v>
      </c>
      <c r="H17" s="7">
        <v>555</v>
      </c>
      <c r="I17" s="7">
        <f>H17+10</f>
        <v>565</v>
      </c>
      <c r="J17" s="349">
        <v>600</v>
      </c>
      <c r="K17" s="349">
        <f>J17</f>
        <v>600</v>
      </c>
      <c r="L17" s="1483">
        <v>630</v>
      </c>
      <c r="M17" s="1483">
        <v>645</v>
      </c>
      <c r="N17" s="1481">
        <v>700</v>
      </c>
      <c r="O17" s="899"/>
      <c r="P17" s="269"/>
      <c r="Q17" s="5">
        <f t="shared" si="7"/>
        <v>685</v>
      </c>
      <c r="R17" s="1559">
        <f t="shared" si="1"/>
        <v>8.5271317829457363E-2</v>
      </c>
    </row>
    <row r="18" spans="1:19" ht="69.75">
      <c r="A18" s="895">
        <f t="shared" si="3"/>
        <v>16</v>
      </c>
      <c r="B18" s="252" t="s">
        <v>1892</v>
      </c>
      <c r="C18" s="272" t="s">
        <v>1851</v>
      </c>
      <c r="D18" s="7">
        <v>225</v>
      </c>
      <c r="E18" s="7">
        <v>245</v>
      </c>
      <c r="F18" s="7">
        <v>265</v>
      </c>
      <c r="G18" s="7">
        <v>550</v>
      </c>
      <c r="H18" s="7">
        <v>560</v>
      </c>
      <c r="I18" s="7">
        <f t="shared" si="4"/>
        <v>570</v>
      </c>
      <c r="J18" s="349">
        <v>600</v>
      </c>
      <c r="K18" s="349">
        <f t="shared" si="5"/>
        <v>600</v>
      </c>
      <c r="L18" s="1483">
        <v>630</v>
      </c>
      <c r="M18" s="1483">
        <v>645</v>
      </c>
      <c r="N18" s="1481">
        <v>700</v>
      </c>
      <c r="O18" s="896"/>
      <c r="P18" s="264"/>
      <c r="Q18" s="5">
        <f>ROUND(106%*M18/5,0)*5</f>
        <v>685</v>
      </c>
      <c r="R18" s="1559">
        <f>(N18-M18)/M18</f>
        <v>8.5271317829457363E-2</v>
      </c>
    </row>
    <row r="19" spans="1:19" ht="36">
      <c r="A19" s="895">
        <f t="shared" si="3"/>
        <v>17</v>
      </c>
      <c r="B19" s="252" t="s">
        <v>1906</v>
      </c>
      <c r="C19" s="272" t="s">
        <v>1851</v>
      </c>
      <c r="D19" s="7">
        <v>200</v>
      </c>
      <c r="E19" s="7">
        <v>220</v>
      </c>
      <c r="F19" s="7">
        <v>235</v>
      </c>
      <c r="G19" s="346">
        <v>540</v>
      </c>
      <c r="H19" s="7">
        <v>550</v>
      </c>
      <c r="I19" s="7">
        <f t="shared" si="4"/>
        <v>560</v>
      </c>
      <c r="J19" s="349">
        <v>600</v>
      </c>
      <c r="K19" s="349">
        <f t="shared" si="5"/>
        <v>600</v>
      </c>
      <c r="L19" s="1483">
        <v>630</v>
      </c>
      <c r="M19" s="1483">
        <v>645</v>
      </c>
      <c r="N19" s="1481">
        <v>700</v>
      </c>
      <c r="O19" s="896"/>
      <c r="P19" s="264"/>
      <c r="Q19" s="5">
        <f t="shared" ref="Q19:Q20" si="8">ROUND(106%*M19/5,0)*5</f>
        <v>685</v>
      </c>
      <c r="R19" s="1559">
        <f t="shared" ref="R19:R36" si="9">(N19-M19)/M19</f>
        <v>8.5271317829457363E-2</v>
      </c>
    </row>
    <row r="20" spans="1:19" ht="36">
      <c r="A20" s="895">
        <f t="shared" si="3"/>
        <v>18</v>
      </c>
      <c r="B20" s="252" t="s">
        <v>1896</v>
      </c>
      <c r="C20" s="272" t="s">
        <v>1851</v>
      </c>
      <c r="D20" s="7">
        <v>200</v>
      </c>
      <c r="E20" s="7">
        <v>220</v>
      </c>
      <c r="F20" s="7">
        <v>235</v>
      </c>
      <c r="G20" s="7">
        <v>517</v>
      </c>
      <c r="H20" s="7">
        <v>527</v>
      </c>
      <c r="I20" s="7">
        <f t="shared" si="4"/>
        <v>537</v>
      </c>
      <c r="J20" s="349">
        <v>575</v>
      </c>
      <c r="K20" s="349">
        <f t="shared" si="5"/>
        <v>575</v>
      </c>
      <c r="L20" s="1483">
        <v>605</v>
      </c>
      <c r="M20" s="1483">
        <v>620</v>
      </c>
      <c r="N20" s="1481">
        <v>690</v>
      </c>
      <c r="O20" s="896"/>
      <c r="P20" s="264"/>
      <c r="Q20" s="5">
        <f t="shared" si="8"/>
        <v>655</v>
      </c>
      <c r="R20" s="1559">
        <f t="shared" si="9"/>
        <v>0.11290322580645161</v>
      </c>
    </row>
    <row r="21" spans="1:19" ht="36">
      <c r="A21" s="895">
        <f t="shared" si="3"/>
        <v>19</v>
      </c>
      <c r="B21" s="1026" t="s">
        <v>1901</v>
      </c>
      <c r="C21" s="1027" t="s">
        <v>1851</v>
      </c>
      <c r="D21" s="346"/>
      <c r="E21" s="346"/>
      <c r="F21" s="346"/>
      <c r="G21" s="346">
        <v>735</v>
      </c>
      <c r="H21" s="346">
        <v>745</v>
      </c>
      <c r="I21" s="346">
        <f t="shared" si="4"/>
        <v>755</v>
      </c>
      <c r="J21" s="1028">
        <v>800</v>
      </c>
      <c r="K21" s="1028">
        <f t="shared" si="5"/>
        <v>800</v>
      </c>
      <c r="L21" s="1486">
        <v>840</v>
      </c>
      <c r="M21" s="1486">
        <v>855</v>
      </c>
      <c r="N21" s="1481">
        <f t="shared" si="2"/>
        <v>905</v>
      </c>
      <c r="O21" s="898"/>
      <c r="P21" s="264"/>
      <c r="Q21" s="5">
        <f>ROUND(106%*M21/5,0)*5</f>
        <v>905</v>
      </c>
      <c r="R21" s="1559">
        <f t="shared" si="9"/>
        <v>5.8479532163742687E-2</v>
      </c>
    </row>
    <row r="22" spans="1:19" ht="46.5">
      <c r="A22" s="895">
        <f t="shared" si="3"/>
        <v>20</v>
      </c>
      <c r="B22" s="252" t="s">
        <v>1902</v>
      </c>
      <c r="C22" s="272" t="s">
        <v>1851</v>
      </c>
      <c r="D22" s="7">
        <v>400</v>
      </c>
      <c r="E22" s="7">
        <v>440</v>
      </c>
      <c r="F22" s="7">
        <v>470</v>
      </c>
      <c r="G22" s="346">
        <v>925</v>
      </c>
      <c r="H22" s="7">
        <v>935</v>
      </c>
      <c r="I22" s="7">
        <f t="shared" si="4"/>
        <v>945</v>
      </c>
      <c r="J22" s="349">
        <v>1000</v>
      </c>
      <c r="K22" s="349">
        <f t="shared" si="5"/>
        <v>1000</v>
      </c>
      <c r="L22" s="1483">
        <v>1050</v>
      </c>
      <c r="M22" s="1483">
        <v>1050</v>
      </c>
      <c r="N22" s="1481">
        <f t="shared" si="2"/>
        <v>1115</v>
      </c>
      <c r="O22" s="896"/>
      <c r="P22" s="264"/>
      <c r="Q22" s="5">
        <f t="shared" ref="Q22:Q28" si="10">ROUND(106%*M22/5,0)*5</f>
        <v>1115</v>
      </c>
      <c r="R22" s="1559">
        <f t="shared" si="9"/>
        <v>6.1904761904761907E-2</v>
      </c>
    </row>
    <row r="23" spans="1:19" ht="36">
      <c r="A23" s="895">
        <f t="shared" si="3"/>
        <v>21</v>
      </c>
      <c r="B23" s="252" t="s">
        <v>1920</v>
      </c>
      <c r="C23" s="272" t="s">
        <v>1851</v>
      </c>
      <c r="D23" s="7">
        <v>200</v>
      </c>
      <c r="E23" s="7">
        <v>220</v>
      </c>
      <c r="F23" s="7">
        <v>235</v>
      </c>
      <c r="G23" s="7">
        <v>517</v>
      </c>
      <c r="H23" s="7">
        <v>527</v>
      </c>
      <c r="I23" s="7">
        <f t="shared" si="4"/>
        <v>537</v>
      </c>
      <c r="J23" s="349">
        <v>600</v>
      </c>
      <c r="K23" s="349">
        <f t="shared" si="5"/>
        <v>600</v>
      </c>
      <c r="L23" s="1480">
        <v>630</v>
      </c>
      <c r="M23" s="1480">
        <v>645</v>
      </c>
      <c r="N23" s="1481">
        <v>700</v>
      </c>
      <c r="O23" s="896"/>
      <c r="P23" s="264"/>
      <c r="Q23" s="5">
        <f t="shared" si="10"/>
        <v>685</v>
      </c>
      <c r="R23" s="1559">
        <f t="shared" si="9"/>
        <v>8.5271317829457363E-2</v>
      </c>
    </row>
    <row r="24" spans="1:19" ht="36">
      <c r="A24" s="895">
        <f t="shared" si="3"/>
        <v>22</v>
      </c>
      <c r="B24" s="252" t="s">
        <v>1908</v>
      </c>
      <c r="C24" s="272" t="s">
        <v>1851</v>
      </c>
      <c r="D24" s="7">
        <v>250</v>
      </c>
      <c r="E24" s="7">
        <v>275</v>
      </c>
      <c r="F24" s="7">
        <v>295</v>
      </c>
      <c r="G24" s="346">
        <v>570</v>
      </c>
      <c r="H24" s="7">
        <v>580</v>
      </c>
      <c r="I24" s="7">
        <f t="shared" si="4"/>
        <v>590</v>
      </c>
      <c r="J24" s="349">
        <v>650</v>
      </c>
      <c r="K24" s="349">
        <f t="shared" si="5"/>
        <v>650</v>
      </c>
      <c r="L24" s="1483">
        <v>685</v>
      </c>
      <c r="M24" s="1483">
        <v>700</v>
      </c>
      <c r="N24" s="1481">
        <f t="shared" si="2"/>
        <v>740</v>
      </c>
      <c r="O24" s="896"/>
      <c r="P24" s="264"/>
      <c r="Q24" s="5">
        <f t="shared" si="10"/>
        <v>740</v>
      </c>
      <c r="R24" s="1559">
        <f t="shared" si="9"/>
        <v>5.7142857142857141E-2</v>
      </c>
    </row>
    <row r="25" spans="1:19" ht="36">
      <c r="A25" s="895">
        <f t="shared" si="3"/>
        <v>23</v>
      </c>
      <c r="B25" s="252" t="s">
        <v>1919</v>
      </c>
      <c r="C25" s="272" t="s">
        <v>1851</v>
      </c>
      <c r="D25" s="9"/>
      <c r="E25" s="10"/>
      <c r="F25" s="9">
        <v>450</v>
      </c>
      <c r="G25" s="9">
        <v>900</v>
      </c>
      <c r="H25" s="7">
        <v>910</v>
      </c>
      <c r="I25" s="7">
        <f t="shared" si="4"/>
        <v>920</v>
      </c>
      <c r="J25" s="347">
        <v>1000</v>
      </c>
      <c r="K25" s="347">
        <f t="shared" si="5"/>
        <v>1000</v>
      </c>
      <c r="L25" s="1480">
        <v>1050</v>
      </c>
      <c r="M25" s="1480">
        <v>1070</v>
      </c>
      <c r="N25" s="1481">
        <f t="shared" si="2"/>
        <v>1135</v>
      </c>
      <c r="O25" s="897"/>
      <c r="P25" s="265"/>
      <c r="Q25" s="5">
        <f t="shared" si="10"/>
        <v>1135</v>
      </c>
      <c r="R25" s="1559">
        <f t="shared" si="9"/>
        <v>6.0747663551401869E-2</v>
      </c>
    </row>
    <row r="26" spans="1:19" ht="36">
      <c r="A26" s="895">
        <f t="shared" si="3"/>
        <v>24</v>
      </c>
      <c r="B26" s="252" t="s">
        <v>1917</v>
      </c>
      <c r="C26" s="272" t="s">
        <v>1852</v>
      </c>
      <c r="D26" s="11">
        <v>200</v>
      </c>
      <c r="E26" s="11">
        <v>220</v>
      </c>
      <c r="F26" s="11">
        <v>235</v>
      </c>
      <c r="G26" s="7">
        <v>680</v>
      </c>
      <c r="H26" s="7">
        <v>690</v>
      </c>
      <c r="I26" s="7">
        <f t="shared" si="4"/>
        <v>700</v>
      </c>
      <c r="J26" s="347">
        <v>800</v>
      </c>
      <c r="K26" s="347">
        <f t="shared" si="5"/>
        <v>800</v>
      </c>
      <c r="L26" s="1480">
        <v>840</v>
      </c>
      <c r="M26" s="1480">
        <v>865</v>
      </c>
      <c r="N26" s="1481">
        <f t="shared" si="2"/>
        <v>915</v>
      </c>
      <c r="O26" s="896"/>
      <c r="P26" s="264"/>
      <c r="Q26" s="5">
        <f t="shared" si="10"/>
        <v>915</v>
      </c>
      <c r="R26" s="1559">
        <f t="shared" si="9"/>
        <v>5.7803468208092484E-2</v>
      </c>
    </row>
    <row r="27" spans="1:19" s="13" customFormat="1" ht="46.5">
      <c r="A27" s="895">
        <f t="shared" si="3"/>
        <v>25</v>
      </c>
      <c r="B27" s="252" t="s">
        <v>1916</v>
      </c>
      <c r="C27" s="272" t="s">
        <v>1772</v>
      </c>
      <c r="D27" s="12">
        <v>25</v>
      </c>
      <c r="E27" s="12">
        <v>25</v>
      </c>
      <c r="F27" s="12">
        <v>25</v>
      </c>
      <c r="G27" s="7">
        <v>30</v>
      </c>
      <c r="H27" s="7">
        <v>30</v>
      </c>
      <c r="I27" s="7">
        <f t="shared" si="4"/>
        <v>40</v>
      </c>
      <c r="J27" s="347">
        <v>45</v>
      </c>
      <c r="K27" s="347">
        <f t="shared" si="5"/>
        <v>45</v>
      </c>
      <c r="L27" s="1480">
        <v>50</v>
      </c>
      <c r="M27" s="1480">
        <v>50</v>
      </c>
      <c r="N27" s="1481">
        <v>55</v>
      </c>
      <c r="O27" s="897"/>
      <c r="P27" s="265"/>
      <c r="Q27" s="5">
        <f>ROUND(106%*M27/5,0)*5</f>
        <v>55</v>
      </c>
      <c r="R27" s="1559">
        <f t="shared" si="9"/>
        <v>0.1</v>
      </c>
      <c r="S27" s="5"/>
    </row>
    <row r="28" spans="1:19" s="13" customFormat="1" ht="36">
      <c r="A28" s="895">
        <f t="shared" si="3"/>
        <v>26</v>
      </c>
      <c r="B28" s="252" t="s">
        <v>1915</v>
      </c>
      <c r="C28" s="272" t="s">
        <v>1851</v>
      </c>
      <c r="D28" s="12"/>
      <c r="E28" s="12"/>
      <c r="F28" s="12"/>
      <c r="G28" s="7"/>
      <c r="H28" s="7"/>
      <c r="I28" s="7"/>
      <c r="J28" s="347"/>
      <c r="K28" s="348">
        <v>672</v>
      </c>
      <c r="L28" s="1482">
        <v>1095</v>
      </c>
      <c r="M28" s="1482">
        <v>750</v>
      </c>
      <c r="N28" s="1481">
        <f t="shared" si="2"/>
        <v>795</v>
      </c>
      <c r="O28" s="900"/>
      <c r="P28" s="266"/>
      <c r="Q28" s="5">
        <f t="shared" si="10"/>
        <v>795</v>
      </c>
      <c r="R28" s="1559">
        <f t="shared" si="9"/>
        <v>0.06</v>
      </c>
      <c r="S28" s="5"/>
    </row>
    <row r="29" spans="1:19" s="13" customFormat="1" ht="46.5">
      <c r="A29" s="895">
        <f t="shared" si="3"/>
        <v>27</v>
      </c>
      <c r="B29" s="252" t="s">
        <v>1897</v>
      </c>
      <c r="C29" s="272" t="s">
        <v>1851</v>
      </c>
      <c r="D29" s="12"/>
      <c r="E29" s="12"/>
      <c r="F29" s="12"/>
      <c r="G29" s="7"/>
      <c r="H29" s="7"/>
      <c r="I29" s="7"/>
      <c r="J29" s="349"/>
      <c r="K29" s="348">
        <v>672</v>
      </c>
      <c r="L29" s="1482">
        <v>1130</v>
      </c>
      <c r="M29" s="1482">
        <v>1130</v>
      </c>
      <c r="N29" s="1484">
        <f t="shared" si="2"/>
        <v>1080</v>
      </c>
      <c r="O29" s="896"/>
      <c r="P29" s="264"/>
      <c r="Q29" s="5">
        <f>ROUND(106%*R29/5,0)*5</f>
        <v>1080</v>
      </c>
      <c r="R29" s="815">
        <v>1020</v>
      </c>
      <c r="S29" s="5"/>
    </row>
    <row r="30" spans="1:19" s="13" customFormat="1" ht="46.5">
      <c r="A30" s="895">
        <f t="shared" si="3"/>
        <v>28</v>
      </c>
      <c r="B30" s="252" t="s">
        <v>1898</v>
      </c>
      <c r="C30" s="272" t="s">
        <v>1851</v>
      </c>
      <c r="D30" s="12"/>
      <c r="E30" s="12"/>
      <c r="F30" s="12"/>
      <c r="G30" s="7"/>
      <c r="H30" s="7"/>
      <c r="I30" s="7"/>
      <c r="J30" s="349"/>
      <c r="K30" s="348">
        <v>609</v>
      </c>
      <c r="L30" s="1482">
        <v>1095</v>
      </c>
      <c r="M30" s="1482">
        <v>1095</v>
      </c>
      <c r="N30" s="1484">
        <f t="shared" si="2"/>
        <v>805</v>
      </c>
      <c r="O30" s="896"/>
      <c r="P30" s="264"/>
      <c r="Q30" s="5">
        <f>ROUND(106%*R30/5,0)*5</f>
        <v>805</v>
      </c>
      <c r="R30" s="815">
        <v>760</v>
      </c>
      <c r="S30" s="5"/>
    </row>
    <row r="31" spans="1:19" s="13" customFormat="1" ht="36">
      <c r="A31" s="895">
        <f t="shared" si="3"/>
        <v>29</v>
      </c>
      <c r="B31" s="252" t="s">
        <v>1911</v>
      </c>
      <c r="C31" s="272" t="s">
        <v>1851</v>
      </c>
      <c r="D31" s="12"/>
      <c r="E31" s="12"/>
      <c r="F31" s="12"/>
      <c r="G31" s="7"/>
      <c r="H31" s="7"/>
      <c r="I31" s="7"/>
      <c r="J31" s="349"/>
      <c r="K31" s="348">
        <v>500</v>
      </c>
      <c r="L31" s="1482">
        <v>525</v>
      </c>
      <c r="M31" s="1482">
        <v>540</v>
      </c>
      <c r="N31" s="1481">
        <v>690</v>
      </c>
      <c r="O31" s="896"/>
      <c r="P31" s="264"/>
      <c r="Q31" s="5">
        <f>ROUND(106%*M31/5,0)*5</f>
        <v>570</v>
      </c>
      <c r="R31" s="1559">
        <f>(N31-M31)/M31</f>
        <v>0.27777777777777779</v>
      </c>
      <c r="S31" s="5"/>
    </row>
    <row r="32" spans="1:19" s="13" customFormat="1" ht="36">
      <c r="A32" s="895">
        <f t="shared" si="3"/>
        <v>30</v>
      </c>
      <c r="B32" s="252" t="s">
        <v>1910</v>
      </c>
      <c r="C32" s="272" t="s">
        <v>1851</v>
      </c>
      <c r="D32" s="9">
        <v>160</v>
      </c>
      <c r="E32" s="9">
        <v>175</v>
      </c>
      <c r="F32" s="9">
        <v>200</v>
      </c>
      <c r="G32" s="9">
        <v>517</v>
      </c>
      <c r="H32" s="7">
        <v>527</v>
      </c>
      <c r="I32" s="7">
        <f t="shared" si="4"/>
        <v>537</v>
      </c>
      <c r="J32" s="349">
        <v>600</v>
      </c>
      <c r="K32" s="347">
        <f>J32</f>
        <v>600</v>
      </c>
      <c r="L32" s="1480">
        <v>648</v>
      </c>
      <c r="M32" s="1480">
        <v>665</v>
      </c>
      <c r="N32" s="1481">
        <v>720</v>
      </c>
      <c r="O32" s="899"/>
      <c r="P32" s="269"/>
      <c r="Q32" s="5">
        <f t="shared" ref="Q32:Q34" si="11">ROUND(106%*M32/5,0)*5</f>
        <v>705</v>
      </c>
      <c r="R32" s="1559">
        <f t="shared" si="9"/>
        <v>8.2706766917293228E-2</v>
      </c>
      <c r="S32" s="5"/>
    </row>
    <row r="33" spans="1:18" ht="36">
      <c r="A33" s="895">
        <f t="shared" si="3"/>
        <v>31</v>
      </c>
      <c r="B33" s="252" t="s">
        <v>1912</v>
      </c>
      <c r="C33" s="351" t="s">
        <v>1851</v>
      </c>
      <c r="D33" s="11">
        <v>200</v>
      </c>
      <c r="E33" s="11">
        <v>230</v>
      </c>
      <c r="F33" s="11">
        <v>255</v>
      </c>
      <c r="G33" s="9">
        <v>540</v>
      </c>
      <c r="H33" s="7">
        <v>550</v>
      </c>
      <c r="I33" s="7">
        <f t="shared" si="4"/>
        <v>560</v>
      </c>
      <c r="J33" s="349">
        <v>580</v>
      </c>
      <c r="K33" s="347">
        <f>J33</f>
        <v>580</v>
      </c>
      <c r="L33" s="1480">
        <v>610</v>
      </c>
      <c r="M33" s="1480">
        <v>620</v>
      </c>
      <c r="N33" s="1481">
        <v>690</v>
      </c>
      <c r="O33" s="896"/>
      <c r="P33" s="1195"/>
      <c r="Q33" s="5">
        <f t="shared" si="11"/>
        <v>655</v>
      </c>
      <c r="R33" s="1559">
        <f>(N33-M33)/M33</f>
        <v>0.11290322580645161</v>
      </c>
    </row>
    <row r="34" spans="1:18" ht="20.100000000000001" customHeight="1">
      <c r="A34" s="895">
        <f t="shared" si="3"/>
        <v>32</v>
      </c>
      <c r="B34" s="252" t="s">
        <v>1913</v>
      </c>
      <c r="C34" s="352" t="s">
        <v>10</v>
      </c>
      <c r="D34" s="7">
        <v>200</v>
      </c>
      <c r="E34" s="7">
        <v>230</v>
      </c>
      <c r="F34" s="7">
        <v>255</v>
      </c>
      <c r="G34" s="7">
        <v>540</v>
      </c>
      <c r="H34" s="7">
        <v>550</v>
      </c>
      <c r="I34" s="7">
        <f t="shared" si="4"/>
        <v>560</v>
      </c>
      <c r="J34" s="349">
        <v>580</v>
      </c>
      <c r="K34" s="349">
        <f t="shared" ref="K34:K35" si="12">J34</f>
        <v>580</v>
      </c>
      <c r="L34" s="1483">
        <v>610</v>
      </c>
      <c r="M34" s="1483">
        <v>620</v>
      </c>
      <c r="N34" s="1481">
        <v>690</v>
      </c>
      <c r="O34" s="896"/>
      <c r="P34" s="264"/>
      <c r="Q34" s="5">
        <f t="shared" si="11"/>
        <v>655</v>
      </c>
      <c r="R34" s="1559">
        <f t="shared" si="9"/>
        <v>0.11290322580645161</v>
      </c>
    </row>
    <row r="35" spans="1:18" ht="24.75" customHeight="1">
      <c r="A35" s="895">
        <f t="shared" si="3"/>
        <v>33</v>
      </c>
      <c r="B35" s="252" t="s">
        <v>1914</v>
      </c>
      <c r="C35" s="353" t="s">
        <v>10</v>
      </c>
      <c r="D35" s="9">
        <v>200</v>
      </c>
      <c r="E35" s="9">
        <v>230</v>
      </c>
      <c r="F35" s="9">
        <v>255</v>
      </c>
      <c r="G35" s="9">
        <v>540</v>
      </c>
      <c r="H35" s="7">
        <v>550</v>
      </c>
      <c r="I35" s="7">
        <f t="shared" si="4"/>
        <v>560</v>
      </c>
      <c r="J35" s="349">
        <v>600</v>
      </c>
      <c r="K35" s="349">
        <f t="shared" si="12"/>
        <v>600</v>
      </c>
      <c r="L35" s="1483">
        <v>630</v>
      </c>
      <c r="M35" s="1483">
        <v>640</v>
      </c>
      <c r="N35" s="1481">
        <v>700</v>
      </c>
      <c r="O35" s="896"/>
      <c r="P35" s="264"/>
      <c r="Q35" s="5">
        <f>ROUND(106%*M35/5,0)*5</f>
        <v>680</v>
      </c>
      <c r="R35" s="1559">
        <f t="shared" si="9"/>
        <v>9.375E-2</v>
      </c>
    </row>
    <row r="36" spans="1:18" ht="36.75" thickBot="1">
      <c r="A36" s="901">
        <f t="shared" si="3"/>
        <v>34</v>
      </c>
      <c r="B36" s="902" t="s">
        <v>1909</v>
      </c>
      <c r="C36" s="903" t="s">
        <v>1851</v>
      </c>
      <c r="D36" s="904"/>
      <c r="E36" s="904"/>
      <c r="F36" s="904"/>
      <c r="G36" s="905">
        <v>575</v>
      </c>
      <c r="H36" s="905">
        <v>585</v>
      </c>
      <c r="I36" s="905">
        <f t="shared" si="4"/>
        <v>595</v>
      </c>
      <c r="J36" s="906">
        <v>650</v>
      </c>
      <c r="K36" s="907">
        <f>J36</f>
        <v>650</v>
      </c>
      <c r="L36" s="1487">
        <v>685</v>
      </c>
      <c r="M36" s="1487">
        <v>700</v>
      </c>
      <c r="N36" s="1488">
        <f t="shared" si="2"/>
        <v>740</v>
      </c>
      <c r="O36" s="908"/>
      <c r="P36" s="267"/>
      <c r="Q36" s="5">
        <f>ROUND(106%*M36/5,0)*5</f>
        <v>740</v>
      </c>
      <c r="R36" s="1559">
        <f t="shared" si="9"/>
        <v>5.7142857142857141E-2</v>
      </c>
    </row>
    <row r="37" spans="1:18" ht="48" customHeight="1" thickBot="1">
      <c r="A37" s="1596" t="s">
        <v>1891</v>
      </c>
      <c r="B37" s="1597"/>
      <c r="C37" s="1597"/>
      <c r="D37" s="1597"/>
      <c r="E37" s="1597"/>
      <c r="F37" s="1597"/>
      <c r="G37" s="1597"/>
      <c r="H37" s="1597"/>
      <c r="I37" s="1597"/>
      <c r="J37" s="1597"/>
      <c r="K37" s="1597"/>
      <c r="L37" s="1597"/>
      <c r="M37" s="1597"/>
      <c r="N37" s="1597"/>
      <c r="O37" s="1598"/>
      <c r="P37" s="254"/>
    </row>
  </sheetData>
  <mergeCells count="2">
    <mergeCell ref="A37:O37"/>
    <mergeCell ref="A1:O1"/>
  </mergeCells>
  <phoneticPr fontId="105" type="noConversion"/>
  <printOptions horizontalCentered="1"/>
  <pageMargins left="1.24" right="0.19" top="1.03" bottom="0.73" header="0.5" footer="0.56999999999999995"/>
  <pageSetup paperSize="9" scale="69" fitToHeight="0" orientation="portrait" horizontalDpi="300" verticalDpi="300" r:id="rId1"/>
  <headerFooter alignWithMargins="0">
    <oddHeader>&amp;L&amp;"Kokila,Regular"&amp;14जिल्ला : नवलपरासी (ब.सु.प.)&amp;R&amp;"Kokila,Regular"&amp;14जिल्ला दररेट आ.व.२०८३/०८४</oddHeader>
    <oddFooter xml:space="preserve">&amp;C&amp;"Nepali, Plain"&amp;16&amp;P&amp;"-,Regular"&amp;11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S64"/>
  <sheetViews>
    <sheetView tabSelected="1" showWhiteSpace="0" view="pageBreakPreview" topLeftCell="A50" zoomScale="115" zoomScaleNormal="100" zoomScaleSheetLayoutView="115" workbookViewId="0">
      <selection activeCell="D24" sqref="D24"/>
    </sheetView>
  </sheetViews>
  <sheetFormatPr defaultColWidth="9.28515625" defaultRowHeight="12.75"/>
  <cols>
    <col min="1" max="1" width="7.42578125" style="21" customWidth="1"/>
    <col min="2" max="2" width="47.140625" style="5" customWidth="1"/>
    <col min="3" max="3" width="17.42578125" style="5" customWidth="1"/>
    <col min="4" max="4" width="11.28515625" style="5" hidden="1" customWidth="1"/>
    <col min="5" max="5" width="11.7109375" style="5" hidden="1" customWidth="1"/>
    <col min="6" max="6" width="10" style="5" hidden="1" customWidth="1"/>
    <col min="7" max="9" width="13" style="5" hidden="1" customWidth="1"/>
    <col min="10" max="10" width="13.5703125" style="5" hidden="1" customWidth="1"/>
    <col min="11" max="11" width="13.42578125" style="5" hidden="1" customWidth="1"/>
    <col min="12" max="14" width="13.5703125" style="5" customWidth="1"/>
    <col min="15" max="15" width="9.28515625" style="5" customWidth="1"/>
    <col min="16" max="16384" width="9.28515625" style="5"/>
  </cols>
  <sheetData>
    <row r="1" spans="1:16" ht="26.25" customHeight="1" thickBot="1">
      <c r="A1" s="1603" t="s">
        <v>2041</v>
      </c>
      <c r="B1" s="1604"/>
      <c r="C1" s="1604"/>
      <c r="D1" s="1604"/>
      <c r="E1" s="1604"/>
      <c r="F1" s="1604"/>
      <c r="G1" s="1604"/>
      <c r="H1" s="1604"/>
      <c r="I1" s="1604"/>
      <c r="J1" s="1604"/>
      <c r="K1" s="1604"/>
      <c r="L1" s="1604"/>
      <c r="M1" s="1604"/>
      <c r="N1" s="1604"/>
      <c r="O1" s="1605"/>
    </row>
    <row r="2" spans="1:16" ht="72">
      <c r="A2" s="890" t="s">
        <v>11</v>
      </c>
      <c r="B2" s="892" t="s">
        <v>1</v>
      </c>
      <c r="C2" s="892" t="s">
        <v>8</v>
      </c>
      <c r="D2" s="911"/>
      <c r="E2" s="911"/>
      <c r="F2" s="911"/>
      <c r="G2" s="666" t="s">
        <v>1418</v>
      </c>
      <c r="H2" s="666" t="s">
        <v>1429</v>
      </c>
      <c r="I2" s="666" t="s">
        <v>1433</v>
      </c>
      <c r="J2" s="666" t="str" cm="1">
        <f t="array" ref="J2">'Jyala Dar Final'!J2:J2</f>
        <v>आ.व. २०७९/०८० को दररेट</v>
      </c>
      <c r="K2" s="666" t="str" cm="1">
        <f t="array" ref="K2">'Jyala Dar Final'!K2:K2</f>
        <v>आ.व. २०८०/०८१ को दररेट</v>
      </c>
      <c r="L2" s="666" t="str" cm="1">
        <f t="array" ref="L2">'Jyala Dar Final'!L2:L2</f>
        <v>आ.व. २०८१/०८२ को दररेट</v>
      </c>
      <c r="M2" s="666" t="str" cm="1">
        <f t="array" ref="M2">'Jyala Dar Final'!M2:M2</f>
        <v>आ.व. २०८२/०८३ को दररेट</v>
      </c>
      <c r="N2" s="666" t="str" cm="1">
        <f t="array" ref="N2">'Jyala Dar Final'!N2:N2</f>
        <v>आ.व. २०८३/०८४ को दररेट</v>
      </c>
      <c r="O2" s="912" t="s">
        <v>2023</v>
      </c>
    </row>
    <row r="3" spans="1:16" ht="17.25">
      <c r="A3" s="913">
        <v>1</v>
      </c>
      <c r="B3" s="409" t="s">
        <v>12</v>
      </c>
      <c r="C3" s="410"/>
      <c r="D3" s="411"/>
      <c r="E3" s="411"/>
      <c r="F3" s="411"/>
      <c r="G3" s="411"/>
      <c r="H3" s="411"/>
      <c r="I3" s="411"/>
      <c r="J3" s="411"/>
      <c r="K3" s="411"/>
      <c r="L3" s="411"/>
      <c r="M3" s="411"/>
      <c r="N3" s="1196"/>
      <c r="O3" s="914"/>
    </row>
    <row r="4" spans="1:16" ht="57">
      <c r="A4" s="915">
        <f>A3+0.01</f>
        <v>1.01</v>
      </c>
      <c r="B4" s="15" t="s">
        <v>2027</v>
      </c>
      <c r="C4" s="773" t="s">
        <v>2028</v>
      </c>
      <c r="D4" s="335">
        <v>1</v>
      </c>
      <c r="E4" s="335">
        <v>1.1000000000000001</v>
      </c>
      <c r="F4" s="336">
        <v>1.2</v>
      </c>
      <c r="G4" s="183">
        <v>2.6</v>
      </c>
      <c r="H4" s="183">
        <f>G4</f>
        <v>2.6</v>
      </c>
      <c r="I4" s="183">
        <f>H4</f>
        <v>2.6</v>
      </c>
      <c r="J4" s="183">
        <v>3</v>
      </c>
      <c r="K4" s="183">
        <f>J4</f>
        <v>3</v>
      </c>
      <c r="L4" s="183">
        <f>K4</f>
        <v>3</v>
      </c>
      <c r="M4" s="183">
        <f>L4</f>
        <v>3</v>
      </c>
      <c r="N4" s="1197">
        <f>M4</f>
        <v>3</v>
      </c>
      <c r="O4" s="916"/>
      <c r="P4" s="16"/>
    </row>
    <row r="5" spans="1:16" ht="71.25">
      <c r="A5" s="915">
        <f t="shared" ref="A5:A9" si="0">A4+0.01</f>
        <v>1.02</v>
      </c>
      <c r="B5" s="15" t="s">
        <v>2026</v>
      </c>
      <c r="C5" s="773" t="s">
        <v>2028</v>
      </c>
      <c r="D5" s="335">
        <f>D4*1.25</f>
        <v>1.25</v>
      </c>
      <c r="E5" s="335">
        <v>1.37</v>
      </c>
      <c r="F5" s="336">
        <v>1.5</v>
      </c>
      <c r="G5" s="183">
        <v>3.3</v>
      </c>
      <c r="H5" s="183">
        <f t="shared" ref="H5:H53" si="1">G5</f>
        <v>3.3</v>
      </c>
      <c r="I5" s="183">
        <f t="shared" ref="I5:I53" si="2">H5</f>
        <v>3.3</v>
      </c>
      <c r="J5" s="183">
        <v>4</v>
      </c>
      <c r="K5" s="183">
        <f t="shared" ref="K5:K57" si="3">J5</f>
        <v>4</v>
      </c>
      <c r="L5" s="183">
        <f t="shared" ref="L5:L57" si="4">K5</f>
        <v>4</v>
      </c>
      <c r="M5" s="183">
        <f t="shared" ref="M5:M57" si="5">L5</f>
        <v>4</v>
      </c>
      <c r="N5" s="1197">
        <f t="shared" ref="N5:N11" si="6">M5</f>
        <v>4</v>
      </c>
      <c r="O5" s="917"/>
    </row>
    <row r="6" spans="1:16" ht="71.25">
      <c r="A6" s="915">
        <f t="shared" si="0"/>
        <v>1.03</v>
      </c>
      <c r="B6" s="15" t="s">
        <v>2025</v>
      </c>
      <c r="C6" s="773" t="s">
        <v>2028</v>
      </c>
      <c r="D6" s="335">
        <f>1.6*D4</f>
        <v>1.6</v>
      </c>
      <c r="E6" s="335">
        <v>1.75</v>
      </c>
      <c r="F6" s="335">
        <v>1.9</v>
      </c>
      <c r="G6" s="183">
        <v>4.0999999999999996</v>
      </c>
      <c r="H6" s="183">
        <f t="shared" si="1"/>
        <v>4.0999999999999996</v>
      </c>
      <c r="I6" s="183">
        <f t="shared" si="2"/>
        <v>4.0999999999999996</v>
      </c>
      <c r="J6" s="183">
        <v>5</v>
      </c>
      <c r="K6" s="183">
        <f t="shared" si="3"/>
        <v>5</v>
      </c>
      <c r="L6" s="183">
        <f t="shared" si="4"/>
        <v>5</v>
      </c>
      <c r="M6" s="183">
        <f t="shared" si="5"/>
        <v>5</v>
      </c>
      <c r="N6" s="1197">
        <f t="shared" si="6"/>
        <v>5</v>
      </c>
      <c r="O6" s="917"/>
    </row>
    <row r="7" spans="1:16" ht="23.25">
      <c r="A7" s="915">
        <f t="shared" si="0"/>
        <v>1.04</v>
      </c>
      <c r="B7" s="772" t="s">
        <v>2039</v>
      </c>
      <c r="C7" s="773" t="s">
        <v>2028</v>
      </c>
      <c r="D7" s="335"/>
      <c r="E7" s="335"/>
      <c r="F7" s="335">
        <v>3.5</v>
      </c>
      <c r="G7" s="183">
        <v>5.85</v>
      </c>
      <c r="H7" s="183">
        <f t="shared" si="1"/>
        <v>5.85</v>
      </c>
      <c r="I7" s="183">
        <f t="shared" si="2"/>
        <v>5.85</v>
      </c>
      <c r="J7" s="183">
        <v>6</v>
      </c>
      <c r="K7" s="183">
        <f t="shared" si="3"/>
        <v>6</v>
      </c>
      <c r="L7" s="183">
        <f t="shared" si="4"/>
        <v>6</v>
      </c>
      <c r="M7" s="183">
        <f t="shared" si="5"/>
        <v>6</v>
      </c>
      <c r="N7" s="1197">
        <f t="shared" si="6"/>
        <v>6</v>
      </c>
      <c r="O7" s="918"/>
    </row>
    <row r="8" spans="1:16" ht="28.5">
      <c r="A8" s="915">
        <f t="shared" si="0"/>
        <v>1.05</v>
      </c>
      <c r="B8" s="15" t="s">
        <v>2024</v>
      </c>
      <c r="C8" s="773" t="s">
        <v>2028</v>
      </c>
      <c r="D8" s="335">
        <v>3</v>
      </c>
      <c r="E8" s="335">
        <v>3.3</v>
      </c>
      <c r="F8" s="335">
        <v>3.65</v>
      </c>
      <c r="G8" s="183">
        <v>6.05</v>
      </c>
      <c r="H8" s="183">
        <f t="shared" si="1"/>
        <v>6.05</v>
      </c>
      <c r="I8" s="183">
        <f t="shared" si="2"/>
        <v>6.05</v>
      </c>
      <c r="J8" s="183">
        <v>7</v>
      </c>
      <c r="K8" s="183">
        <f t="shared" si="3"/>
        <v>7</v>
      </c>
      <c r="L8" s="183">
        <f t="shared" si="4"/>
        <v>7</v>
      </c>
      <c r="M8" s="183">
        <f t="shared" si="5"/>
        <v>7</v>
      </c>
      <c r="N8" s="1197">
        <f t="shared" si="6"/>
        <v>7</v>
      </c>
      <c r="O8" s="918"/>
    </row>
    <row r="9" spans="1:16" ht="23.25">
      <c r="A9" s="915">
        <f t="shared" si="0"/>
        <v>1.06</v>
      </c>
      <c r="B9" s="17" t="s">
        <v>13</v>
      </c>
      <c r="C9" s="773" t="s">
        <v>2028</v>
      </c>
      <c r="D9" s="335">
        <v>5</v>
      </c>
      <c r="E9" s="335">
        <v>5.5</v>
      </c>
      <c r="F9" s="335">
        <v>6</v>
      </c>
      <c r="G9" s="183">
        <v>10.65</v>
      </c>
      <c r="H9" s="183">
        <f t="shared" si="1"/>
        <v>10.65</v>
      </c>
      <c r="I9" s="183">
        <f t="shared" si="2"/>
        <v>10.65</v>
      </c>
      <c r="J9" s="183">
        <v>11</v>
      </c>
      <c r="K9" s="183">
        <f t="shared" si="3"/>
        <v>11</v>
      </c>
      <c r="L9" s="183">
        <f t="shared" si="4"/>
        <v>11</v>
      </c>
      <c r="M9" s="183">
        <f t="shared" si="5"/>
        <v>11</v>
      </c>
      <c r="N9" s="1197">
        <f t="shared" si="6"/>
        <v>11</v>
      </c>
      <c r="O9" s="917"/>
    </row>
    <row r="10" spans="1:16" ht="18">
      <c r="A10" s="919" t="s">
        <v>3</v>
      </c>
      <c r="B10" s="354" t="s">
        <v>14</v>
      </c>
      <c r="C10" s="773" t="s">
        <v>2028</v>
      </c>
      <c r="D10" s="335">
        <v>0.9</v>
      </c>
      <c r="E10" s="335">
        <v>1</v>
      </c>
      <c r="F10" s="335">
        <v>1.1000000000000001</v>
      </c>
      <c r="G10" s="183">
        <v>1.85</v>
      </c>
      <c r="H10" s="183">
        <f t="shared" si="1"/>
        <v>1.85</v>
      </c>
      <c r="I10" s="183">
        <f t="shared" si="2"/>
        <v>1.85</v>
      </c>
      <c r="J10" s="183">
        <v>2</v>
      </c>
      <c r="K10" s="183">
        <f t="shared" si="3"/>
        <v>2</v>
      </c>
      <c r="L10" s="183">
        <f t="shared" si="4"/>
        <v>2</v>
      </c>
      <c r="M10" s="183">
        <f t="shared" si="5"/>
        <v>2</v>
      </c>
      <c r="N10" s="1197">
        <f t="shared" si="6"/>
        <v>2</v>
      </c>
      <c r="O10" s="917"/>
    </row>
    <row r="11" spans="1:16" ht="18">
      <c r="A11" s="919" t="s">
        <v>4</v>
      </c>
      <c r="B11" s="354" t="s">
        <v>15</v>
      </c>
      <c r="C11" s="773" t="s">
        <v>2029</v>
      </c>
      <c r="D11" s="337">
        <v>200</v>
      </c>
      <c r="E11" s="337">
        <v>220</v>
      </c>
      <c r="F11" s="337">
        <v>245</v>
      </c>
      <c r="G11" s="183">
        <v>415</v>
      </c>
      <c r="H11" s="183">
        <f t="shared" si="1"/>
        <v>415</v>
      </c>
      <c r="I11" s="183">
        <f t="shared" si="2"/>
        <v>415</v>
      </c>
      <c r="J11" s="183">
        <v>500</v>
      </c>
      <c r="K11" s="183">
        <f t="shared" si="3"/>
        <v>500</v>
      </c>
      <c r="L11" s="183">
        <f t="shared" si="4"/>
        <v>500</v>
      </c>
      <c r="M11" s="183">
        <f t="shared" si="5"/>
        <v>500</v>
      </c>
      <c r="N11" s="1197">
        <f t="shared" si="6"/>
        <v>500</v>
      </c>
      <c r="O11" s="917"/>
    </row>
    <row r="12" spans="1:16" s="6" customFormat="1" ht="19.5">
      <c r="A12" s="913" t="s">
        <v>5</v>
      </c>
      <c r="B12" s="412" t="s">
        <v>16</v>
      </c>
      <c r="C12" s="399"/>
      <c r="D12" s="413"/>
      <c r="E12" s="413"/>
      <c r="F12" s="413"/>
      <c r="G12" s="401"/>
      <c r="H12" s="401">
        <f t="shared" si="1"/>
        <v>0</v>
      </c>
      <c r="I12" s="401">
        <f t="shared" si="2"/>
        <v>0</v>
      </c>
      <c r="J12" s="401"/>
      <c r="K12" s="401">
        <f t="shared" si="3"/>
        <v>0</v>
      </c>
      <c r="L12" s="401">
        <f t="shared" si="4"/>
        <v>0</v>
      </c>
      <c r="M12" s="401">
        <f t="shared" si="5"/>
        <v>0</v>
      </c>
      <c r="N12" s="1198"/>
      <c r="O12" s="920"/>
    </row>
    <row r="13" spans="1:16" ht="24.75">
      <c r="A13" s="921" t="s">
        <v>1860</v>
      </c>
      <c r="B13" s="422" t="s">
        <v>2033</v>
      </c>
      <c r="C13" s="417"/>
      <c r="D13" s="423"/>
      <c r="E13" s="423"/>
      <c r="F13" s="423"/>
      <c r="G13" s="420"/>
      <c r="H13" s="420">
        <f t="shared" si="1"/>
        <v>0</v>
      </c>
      <c r="I13" s="420">
        <f t="shared" si="2"/>
        <v>0</v>
      </c>
      <c r="J13" s="420"/>
      <c r="K13" s="420">
        <f t="shared" si="3"/>
        <v>0</v>
      </c>
      <c r="L13" s="420">
        <f t="shared" si="4"/>
        <v>0</v>
      </c>
      <c r="M13" s="420">
        <f t="shared" si="5"/>
        <v>0</v>
      </c>
      <c r="N13" s="1199"/>
      <c r="O13" s="922"/>
    </row>
    <row r="14" spans="1:16" ht="18">
      <c r="A14" s="923">
        <v>1</v>
      </c>
      <c r="B14" s="19" t="s">
        <v>1546</v>
      </c>
      <c r="C14" s="773" t="s">
        <v>2029</v>
      </c>
      <c r="D14" s="335">
        <v>28</v>
      </c>
      <c r="E14" s="335">
        <v>31</v>
      </c>
      <c r="F14" s="335">
        <v>34.4</v>
      </c>
      <c r="G14" s="183">
        <v>55</v>
      </c>
      <c r="H14" s="183">
        <f t="shared" si="1"/>
        <v>55</v>
      </c>
      <c r="I14" s="183">
        <f t="shared" si="2"/>
        <v>55</v>
      </c>
      <c r="J14" s="183">
        <v>75</v>
      </c>
      <c r="K14" s="183">
        <f t="shared" si="3"/>
        <v>75</v>
      </c>
      <c r="L14" s="183">
        <f t="shared" si="4"/>
        <v>75</v>
      </c>
      <c r="M14" s="183">
        <f t="shared" si="5"/>
        <v>75</v>
      </c>
      <c r="N14" s="1197">
        <f>M14</f>
        <v>75</v>
      </c>
      <c r="O14" s="917"/>
    </row>
    <row r="15" spans="1:16" ht="18">
      <c r="A15" s="923">
        <v>2</v>
      </c>
      <c r="B15" s="19" t="s">
        <v>18</v>
      </c>
      <c r="C15" s="773" t="s">
        <v>2029</v>
      </c>
      <c r="D15" s="335">
        <v>23</v>
      </c>
      <c r="E15" s="335">
        <v>25.25</v>
      </c>
      <c r="F15" s="335">
        <v>28</v>
      </c>
      <c r="G15" s="183">
        <v>45</v>
      </c>
      <c r="H15" s="183">
        <f t="shared" si="1"/>
        <v>45</v>
      </c>
      <c r="I15" s="183">
        <f t="shared" si="2"/>
        <v>45</v>
      </c>
      <c r="J15" s="183">
        <v>70</v>
      </c>
      <c r="K15" s="183">
        <f t="shared" si="3"/>
        <v>70</v>
      </c>
      <c r="L15" s="183">
        <f t="shared" si="4"/>
        <v>70</v>
      </c>
      <c r="M15" s="183">
        <f t="shared" si="5"/>
        <v>70</v>
      </c>
      <c r="N15" s="1197">
        <f t="shared" ref="N15:N16" si="7">M15</f>
        <v>70</v>
      </c>
      <c r="O15" s="917"/>
    </row>
    <row r="16" spans="1:16" ht="18">
      <c r="A16" s="923">
        <v>3</v>
      </c>
      <c r="B16" s="19" t="s">
        <v>19</v>
      </c>
      <c r="C16" s="773" t="s">
        <v>2029</v>
      </c>
      <c r="D16" s="335">
        <v>18</v>
      </c>
      <c r="E16" s="335">
        <v>20</v>
      </c>
      <c r="F16" s="335">
        <v>22</v>
      </c>
      <c r="G16" s="183">
        <v>35</v>
      </c>
      <c r="H16" s="183">
        <f t="shared" si="1"/>
        <v>35</v>
      </c>
      <c r="I16" s="183">
        <f t="shared" si="2"/>
        <v>35</v>
      </c>
      <c r="J16" s="183">
        <v>50</v>
      </c>
      <c r="K16" s="183">
        <f t="shared" si="3"/>
        <v>50</v>
      </c>
      <c r="L16" s="183">
        <f t="shared" si="4"/>
        <v>50</v>
      </c>
      <c r="M16" s="183">
        <f t="shared" si="5"/>
        <v>50</v>
      </c>
      <c r="N16" s="1197">
        <f t="shared" si="7"/>
        <v>50</v>
      </c>
      <c r="O16" s="917"/>
    </row>
    <row r="17" spans="1:15" ht="24.75">
      <c r="A17" s="921" t="s">
        <v>1861</v>
      </c>
      <c r="B17" s="422" t="s">
        <v>2032</v>
      </c>
      <c r="C17" s="774"/>
      <c r="D17" s="423"/>
      <c r="E17" s="423"/>
      <c r="F17" s="423"/>
      <c r="G17" s="420"/>
      <c r="H17" s="420">
        <f t="shared" si="1"/>
        <v>0</v>
      </c>
      <c r="I17" s="420">
        <f t="shared" si="2"/>
        <v>0</v>
      </c>
      <c r="J17" s="420"/>
      <c r="K17" s="420">
        <f t="shared" si="3"/>
        <v>0</v>
      </c>
      <c r="L17" s="420">
        <f t="shared" si="4"/>
        <v>0</v>
      </c>
      <c r="M17" s="420">
        <f t="shared" si="5"/>
        <v>0</v>
      </c>
      <c r="N17" s="1199"/>
      <c r="O17" s="922"/>
    </row>
    <row r="18" spans="1:15" ht="18">
      <c r="A18" s="923">
        <v>1</v>
      </c>
      <c r="B18" s="19" t="s">
        <v>17</v>
      </c>
      <c r="C18" s="773" t="s">
        <v>2029</v>
      </c>
      <c r="D18" s="335">
        <v>42</v>
      </c>
      <c r="E18" s="335">
        <v>44.25</v>
      </c>
      <c r="F18" s="335">
        <v>48</v>
      </c>
      <c r="G18" s="183">
        <v>73</v>
      </c>
      <c r="H18" s="183">
        <f t="shared" si="1"/>
        <v>73</v>
      </c>
      <c r="I18" s="183">
        <f t="shared" si="2"/>
        <v>73</v>
      </c>
      <c r="J18" s="183">
        <v>100</v>
      </c>
      <c r="K18" s="183">
        <f t="shared" si="3"/>
        <v>100</v>
      </c>
      <c r="L18" s="183">
        <f t="shared" si="4"/>
        <v>100</v>
      </c>
      <c r="M18" s="183">
        <f t="shared" si="5"/>
        <v>100</v>
      </c>
      <c r="N18" s="1197">
        <f>M18</f>
        <v>100</v>
      </c>
      <c r="O18" s="917"/>
    </row>
    <row r="19" spans="1:15" ht="18">
      <c r="A19" s="923">
        <v>2</v>
      </c>
      <c r="B19" s="19" t="s">
        <v>18</v>
      </c>
      <c r="C19" s="773" t="s">
        <v>2029</v>
      </c>
      <c r="D19" s="335">
        <v>35</v>
      </c>
      <c r="E19" s="335">
        <v>38.5</v>
      </c>
      <c r="F19" s="335">
        <v>42</v>
      </c>
      <c r="G19" s="183">
        <v>74</v>
      </c>
      <c r="H19" s="183">
        <f t="shared" si="1"/>
        <v>74</v>
      </c>
      <c r="I19" s="183">
        <f t="shared" si="2"/>
        <v>74</v>
      </c>
      <c r="J19" s="183">
        <v>90</v>
      </c>
      <c r="K19" s="183">
        <f t="shared" si="3"/>
        <v>90</v>
      </c>
      <c r="L19" s="183">
        <f t="shared" si="4"/>
        <v>90</v>
      </c>
      <c r="M19" s="183">
        <f t="shared" si="5"/>
        <v>90</v>
      </c>
      <c r="N19" s="1197">
        <f t="shared" ref="N19:N20" si="8">M19</f>
        <v>90</v>
      </c>
      <c r="O19" s="917"/>
    </row>
    <row r="20" spans="1:15" ht="18">
      <c r="A20" s="923">
        <v>3</v>
      </c>
      <c r="B20" s="19" t="s">
        <v>19</v>
      </c>
      <c r="C20" s="773" t="s">
        <v>2029</v>
      </c>
      <c r="D20" s="335">
        <v>28</v>
      </c>
      <c r="E20" s="335">
        <v>30.5</v>
      </c>
      <c r="F20" s="335">
        <v>33</v>
      </c>
      <c r="G20" s="183">
        <v>51</v>
      </c>
      <c r="H20" s="183">
        <f t="shared" si="1"/>
        <v>51</v>
      </c>
      <c r="I20" s="183">
        <f t="shared" si="2"/>
        <v>51</v>
      </c>
      <c r="J20" s="183">
        <v>70</v>
      </c>
      <c r="K20" s="183">
        <f t="shared" si="3"/>
        <v>70</v>
      </c>
      <c r="L20" s="183">
        <f t="shared" si="4"/>
        <v>70</v>
      </c>
      <c r="M20" s="183">
        <f t="shared" si="5"/>
        <v>70</v>
      </c>
      <c r="N20" s="1197">
        <f t="shared" si="8"/>
        <v>70</v>
      </c>
      <c r="O20" s="917"/>
    </row>
    <row r="21" spans="1:15" ht="18">
      <c r="A21" s="924">
        <v>5</v>
      </c>
      <c r="B21" s="424" t="s">
        <v>20</v>
      </c>
      <c r="C21" s="775"/>
      <c r="D21" s="414"/>
      <c r="E21" s="414"/>
      <c r="F21" s="414"/>
      <c r="G21" s="401"/>
      <c r="H21" s="401">
        <f t="shared" si="1"/>
        <v>0</v>
      </c>
      <c r="I21" s="401">
        <f t="shared" si="2"/>
        <v>0</v>
      </c>
      <c r="J21" s="401"/>
      <c r="K21" s="401">
        <f t="shared" si="3"/>
        <v>0</v>
      </c>
      <c r="L21" s="401">
        <f t="shared" si="4"/>
        <v>0</v>
      </c>
      <c r="M21" s="401">
        <f t="shared" si="5"/>
        <v>0</v>
      </c>
      <c r="N21" s="1198"/>
      <c r="O21" s="920"/>
    </row>
    <row r="22" spans="1:15" ht="23.25">
      <c r="A22" s="915">
        <f>A21+0.01</f>
        <v>5.01</v>
      </c>
      <c r="B22" s="280" t="s">
        <v>22</v>
      </c>
      <c r="C22" s="773" t="s">
        <v>1931</v>
      </c>
      <c r="D22" s="335"/>
      <c r="E22" s="335"/>
      <c r="F22" s="335"/>
      <c r="G22" s="183">
        <v>3000</v>
      </c>
      <c r="H22" s="183">
        <f t="shared" si="1"/>
        <v>3000</v>
      </c>
      <c r="I22" s="183">
        <f t="shared" si="2"/>
        <v>3000</v>
      </c>
      <c r="J22" s="183">
        <v>3500</v>
      </c>
      <c r="K22" s="183">
        <f t="shared" si="3"/>
        <v>3500</v>
      </c>
      <c r="L22" s="183">
        <f t="shared" si="4"/>
        <v>3500</v>
      </c>
      <c r="M22" s="183">
        <f t="shared" si="5"/>
        <v>3500</v>
      </c>
      <c r="N22" s="1197">
        <f>M22</f>
        <v>3500</v>
      </c>
      <c r="O22" s="917"/>
    </row>
    <row r="23" spans="1:15" ht="23.25">
      <c r="A23" s="915">
        <f>A22+0.01</f>
        <v>5.0199999999999996</v>
      </c>
      <c r="B23" s="280" t="s">
        <v>24</v>
      </c>
      <c r="C23" s="773" t="s">
        <v>1931</v>
      </c>
      <c r="D23" s="335"/>
      <c r="E23" s="335"/>
      <c r="F23" s="335"/>
      <c r="G23" s="183">
        <v>5000</v>
      </c>
      <c r="H23" s="183">
        <f t="shared" si="1"/>
        <v>5000</v>
      </c>
      <c r="I23" s="183">
        <f t="shared" si="2"/>
        <v>5000</v>
      </c>
      <c r="J23" s="183">
        <v>7000</v>
      </c>
      <c r="K23" s="183">
        <f t="shared" si="3"/>
        <v>7000</v>
      </c>
      <c r="L23" s="183">
        <f t="shared" si="4"/>
        <v>7000</v>
      </c>
      <c r="M23" s="183">
        <v>6000</v>
      </c>
      <c r="N23" s="1197">
        <f>M23</f>
        <v>6000</v>
      </c>
      <c r="O23" s="917"/>
    </row>
    <row r="24" spans="1:15" s="6" customFormat="1" ht="28.5">
      <c r="A24" s="925">
        <v>6</v>
      </c>
      <c r="B24" s="424" t="s">
        <v>25</v>
      </c>
      <c r="C24" s="775" t="s">
        <v>2029</v>
      </c>
      <c r="D24" s="425">
        <v>60</v>
      </c>
      <c r="E24" s="426">
        <v>66</v>
      </c>
      <c r="F24" s="413">
        <v>73</v>
      </c>
      <c r="G24" s="401">
        <v>125</v>
      </c>
      <c r="H24" s="401">
        <f t="shared" si="1"/>
        <v>125</v>
      </c>
      <c r="I24" s="401">
        <f t="shared" si="2"/>
        <v>125</v>
      </c>
      <c r="J24" s="401">
        <v>150</v>
      </c>
      <c r="K24" s="401">
        <f t="shared" si="3"/>
        <v>150</v>
      </c>
      <c r="L24" s="401">
        <f t="shared" si="4"/>
        <v>150</v>
      </c>
      <c r="M24" s="401">
        <f t="shared" si="5"/>
        <v>150</v>
      </c>
      <c r="N24" s="1198">
        <f>M24</f>
        <v>150</v>
      </c>
      <c r="O24" s="920"/>
    </row>
    <row r="25" spans="1:15" ht="18">
      <c r="A25" s="913">
        <v>7</v>
      </c>
      <c r="B25" s="412" t="s">
        <v>26</v>
      </c>
      <c r="C25" s="775"/>
      <c r="D25" s="414"/>
      <c r="E25" s="414"/>
      <c r="F25" s="414"/>
      <c r="G25" s="401"/>
      <c r="H25" s="401">
        <f t="shared" si="1"/>
        <v>0</v>
      </c>
      <c r="I25" s="401">
        <f t="shared" si="2"/>
        <v>0</v>
      </c>
      <c r="J25" s="401"/>
      <c r="K25" s="401">
        <f t="shared" si="3"/>
        <v>0</v>
      </c>
      <c r="L25" s="401"/>
      <c r="M25" s="401"/>
      <c r="N25" s="1198"/>
      <c r="O25" s="920"/>
    </row>
    <row r="26" spans="1:15" ht="23.25">
      <c r="A26" s="915">
        <f>A25+0.01</f>
        <v>7.01</v>
      </c>
      <c r="B26" s="334" t="s">
        <v>19</v>
      </c>
      <c r="C26" s="773" t="s">
        <v>2029</v>
      </c>
      <c r="D26" s="335">
        <v>11.5</v>
      </c>
      <c r="E26" s="335">
        <v>12.75</v>
      </c>
      <c r="F26" s="338">
        <v>14</v>
      </c>
      <c r="G26" s="183">
        <v>22</v>
      </c>
      <c r="H26" s="183">
        <f t="shared" si="1"/>
        <v>22</v>
      </c>
      <c r="I26" s="183">
        <f t="shared" si="2"/>
        <v>22</v>
      </c>
      <c r="J26" s="183">
        <v>35</v>
      </c>
      <c r="K26" s="183">
        <f t="shared" si="3"/>
        <v>35</v>
      </c>
      <c r="L26" s="183">
        <f t="shared" si="4"/>
        <v>35</v>
      </c>
      <c r="M26" s="183">
        <f t="shared" si="5"/>
        <v>35</v>
      </c>
      <c r="N26" s="1197">
        <f>M26</f>
        <v>35</v>
      </c>
      <c r="O26" s="917"/>
    </row>
    <row r="27" spans="1:15" ht="23.25">
      <c r="A27" s="915">
        <f t="shared" ref="A27:A28" si="9">A26+0.01</f>
        <v>7.02</v>
      </c>
      <c r="B27" s="334" t="s">
        <v>18</v>
      </c>
      <c r="C27" s="773" t="s">
        <v>2029</v>
      </c>
      <c r="D27" s="335">
        <v>14.4</v>
      </c>
      <c r="E27" s="335">
        <v>16</v>
      </c>
      <c r="F27" s="338">
        <v>17.600000000000001</v>
      </c>
      <c r="G27" s="183">
        <v>27</v>
      </c>
      <c r="H27" s="183">
        <f t="shared" si="1"/>
        <v>27</v>
      </c>
      <c r="I27" s="183">
        <f t="shared" si="2"/>
        <v>27</v>
      </c>
      <c r="J27" s="183">
        <v>40</v>
      </c>
      <c r="K27" s="183">
        <f t="shared" si="3"/>
        <v>40</v>
      </c>
      <c r="L27" s="183">
        <f t="shared" si="4"/>
        <v>40</v>
      </c>
      <c r="M27" s="183">
        <f t="shared" si="5"/>
        <v>40</v>
      </c>
      <c r="N27" s="1197">
        <f t="shared" ref="N27:N28" si="10">M27</f>
        <v>40</v>
      </c>
      <c r="O27" s="917"/>
    </row>
    <row r="28" spans="1:15" ht="23.25">
      <c r="A28" s="915">
        <f t="shared" si="9"/>
        <v>7.0299999999999994</v>
      </c>
      <c r="B28" s="334" t="s">
        <v>17</v>
      </c>
      <c r="C28" s="773" t="s">
        <v>2029</v>
      </c>
      <c r="D28" s="335">
        <v>17.25</v>
      </c>
      <c r="E28" s="335">
        <v>19</v>
      </c>
      <c r="F28" s="338">
        <v>21</v>
      </c>
      <c r="G28" s="182">
        <v>33</v>
      </c>
      <c r="H28" s="183">
        <f t="shared" si="1"/>
        <v>33</v>
      </c>
      <c r="I28" s="183">
        <f t="shared" si="2"/>
        <v>33</v>
      </c>
      <c r="J28" s="183">
        <v>45</v>
      </c>
      <c r="K28" s="183">
        <f t="shared" si="3"/>
        <v>45</v>
      </c>
      <c r="L28" s="183">
        <f t="shared" si="4"/>
        <v>45</v>
      </c>
      <c r="M28" s="183">
        <f t="shared" si="5"/>
        <v>45</v>
      </c>
      <c r="N28" s="1197">
        <f t="shared" si="10"/>
        <v>45</v>
      </c>
      <c r="O28" s="918"/>
    </row>
    <row r="29" spans="1:15" ht="18">
      <c r="A29" s="913">
        <v>8</v>
      </c>
      <c r="B29" s="412" t="s">
        <v>27</v>
      </c>
      <c r="C29" s="775" t="s">
        <v>2029</v>
      </c>
      <c r="D29" s="414">
        <v>6.5</v>
      </c>
      <c r="E29" s="414">
        <v>6.34</v>
      </c>
      <c r="F29" s="414">
        <v>6.5</v>
      </c>
      <c r="G29" s="400">
        <v>11</v>
      </c>
      <c r="H29" s="401">
        <f t="shared" si="1"/>
        <v>11</v>
      </c>
      <c r="I29" s="401">
        <f t="shared" si="2"/>
        <v>11</v>
      </c>
      <c r="J29" s="401">
        <v>15</v>
      </c>
      <c r="K29" s="401">
        <f t="shared" si="3"/>
        <v>15</v>
      </c>
      <c r="L29" s="401">
        <f t="shared" si="4"/>
        <v>15</v>
      </c>
      <c r="M29" s="401">
        <f t="shared" si="5"/>
        <v>15</v>
      </c>
      <c r="N29" s="1198">
        <f>M29</f>
        <v>15</v>
      </c>
      <c r="O29" s="914"/>
    </row>
    <row r="30" spans="1:15" ht="18">
      <c r="A30" s="913">
        <v>9</v>
      </c>
      <c r="B30" s="412" t="s">
        <v>28</v>
      </c>
      <c r="C30" s="775"/>
      <c r="D30" s="414"/>
      <c r="E30" s="414"/>
      <c r="F30" s="414"/>
      <c r="G30" s="400"/>
      <c r="H30" s="401">
        <f t="shared" si="1"/>
        <v>0</v>
      </c>
      <c r="I30" s="401">
        <f t="shared" si="2"/>
        <v>0</v>
      </c>
      <c r="J30" s="401"/>
      <c r="K30" s="401">
        <f t="shared" si="3"/>
        <v>0</v>
      </c>
      <c r="L30" s="401"/>
      <c r="M30" s="401"/>
      <c r="N30" s="1198"/>
      <c r="O30" s="914"/>
    </row>
    <row r="31" spans="1:15" ht="23.25">
      <c r="A31" s="915">
        <f>A30+0.01</f>
        <v>9.01</v>
      </c>
      <c r="B31" s="17" t="s">
        <v>29</v>
      </c>
      <c r="C31" s="773" t="s">
        <v>2030</v>
      </c>
      <c r="D31" s="335">
        <v>10</v>
      </c>
      <c r="E31" s="335">
        <v>10</v>
      </c>
      <c r="F31" s="335">
        <v>11</v>
      </c>
      <c r="G31" s="182">
        <v>20</v>
      </c>
      <c r="H31" s="183">
        <f t="shared" si="1"/>
        <v>20</v>
      </c>
      <c r="I31" s="183">
        <f t="shared" si="2"/>
        <v>20</v>
      </c>
      <c r="J31" s="183">
        <v>21</v>
      </c>
      <c r="K31" s="183">
        <f t="shared" si="3"/>
        <v>21</v>
      </c>
      <c r="L31" s="183">
        <f t="shared" si="4"/>
        <v>21</v>
      </c>
      <c r="M31" s="183">
        <f t="shared" si="5"/>
        <v>21</v>
      </c>
      <c r="N31" s="1197">
        <f>M31</f>
        <v>21</v>
      </c>
      <c r="O31" s="926"/>
    </row>
    <row r="32" spans="1:15" ht="23.25">
      <c r="A32" s="915">
        <f t="shared" ref="A32:A33" si="11">A31+0.01</f>
        <v>9.02</v>
      </c>
      <c r="B32" s="17" t="s">
        <v>30</v>
      </c>
      <c r="C32" s="773" t="s">
        <v>2030</v>
      </c>
      <c r="D32" s="335">
        <v>12</v>
      </c>
      <c r="E32" s="335">
        <v>12</v>
      </c>
      <c r="F32" s="335">
        <v>13</v>
      </c>
      <c r="G32" s="182">
        <v>22</v>
      </c>
      <c r="H32" s="183">
        <f t="shared" si="1"/>
        <v>22</v>
      </c>
      <c r="I32" s="183">
        <f t="shared" si="2"/>
        <v>22</v>
      </c>
      <c r="J32" s="183">
        <v>23</v>
      </c>
      <c r="K32" s="183">
        <f t="shared" si="3"/>
        <v>23</v>
      </c>
      <c r="L32" s="183">
        <f t="shared" si="4"/>
        <v>23</v>
      </c>
      <c r="M32" s="183">
        <f t="shared" si="5"/>
        <v>23</v>
      </c>
      <c r="N32" s="1197">
        <f t="shared" ref="N32:N39" si="12">M32</f>
        <v>23</v>
      </c>
      <c r="O32" s="926"/>
    </row>
    <row r="33" spans="1:15" ht="23.25">
      <c r="A33" s="915">
        <f t="shared" si="11"/>
        <v>9.0299999999999994</v>
      </c>
      <c r="B33" s="17" t="s">
        <v>31</v>
      </c>
      <c r="C33" s="773" t="s">
        <v>2030</v>
      </c>
      <c r="D33" s="335">
        <v>20</v>
      </c>
      <c r="E33" s="335">
        <v>20</v>
      </c>
      <c r="F33" s="335">
        <v>21</v>
      </c>
      <c r="G33" s="182">
        <v>35</v>
      </c>
      <c r="H33" s="183">
        <f t="shared" si="1"/>
        <v>35</v>
      </c>
      <c r="I33" s="183">
        <f t="shared" si="2"/>
        <v>35</v>
      </c>
      <c r="J33" s="183">
        <v>40</v>
      </c>
      <c r="K33" s="183">
        <f t="shared" si="3"/>
        <v>40</v>
      </c>
      <c r="L33" s="183">
        <f t="shared" si="4"/>
        <v>40</v>
      </c>
      <c r="M33" s="183">
        <f t="shared" si="5"/>
        <v>40</v>
      </c>
      <c r="N33" s="1197">
        <f t="shared" si="12"/>
        <v>40</v>
      </c>
      <c r="O33" s="926"/>
    </row>
    <row r="34" spans="1:15" ht="18">
      <c r="A34" s="919">
        <v>10</v>
      </c>
      <c r="B34" s="18" t="s">
        <v>32</v>
      </c>
      <c r="C34" s="773" t="s">
        <v>2030</v>
      </c>
      <c r="D34" s="335">
        <v>10</v>
      </c>
      <c r="E34" s="335">
        <v>10</v>
      </c>
      <c r="F34" s="335">
        <v>11</v>
      </c>
      <c r="G34" s="182">
        <v>19</v>
      </c>
      <c r="H34" s="183">
        <f t="shared" si="1"/>
        <v>19</v>
      </c>
      <c r="I34" s="183">
        <f t="shared" si="2"/>
        <v>19</v>
      </c>
      <c r="J34" s="183">
        <v>20</v>
      </c>
      <c r="K34" s="183">
        <f t="shared" si="3"/>
        <v>20</v>
      </c>
      <c r="L34" s="183">
        <f t="shared" si="4"/>
        <v>20</v>
      </c>
      <c r="M34" s="183">
        <f t="shared" si="5"/>
        <v>20</v>
      </c>
      <c r="N34" s="1197">
        <f t="shared" si="12"/>
        <v>20</v>
      </c>
      <c r="O34" s="926"/>
    </row>
    <row r="35" spans="1:15" s="13" customFormat="1" ht="18">
      <c r="A35" s="919">
        <v>11</v>
      </c>
      <c r="B35" s="18" t="s">
        <v>33</v>
      </c>
      <c r="C35" s="773" t="s">
        <v>2030</v>
      </c>
      <c r="D35" s="335">
        <v>10</v>
      </c>
      <c r="E35" s="335">
        <v>10</v>
      </c>
      <c r="F35" s="335">
        <v>11</v>
      </c>
      <c r="G35" s="182">
        <v>20</v>
      </c>
      <c r="H35" s="183">
        <f t="shared" si="1"/>
        <v>20</v>
      </c>
      <c r="I35" s="183">
        <f t="shared" si="2"/>
        <v>20</v>
      </c>
      <c r="J35" s="183">
        <v>21</v>
      </c>
      <c r="K35" s="183">
        <f t="shared" si="3"/>
        <v>21</v>
      </c>
      <c r="L35" s="183">
        <f t="shared" si="4"/>
        <v>21</v>
      </c>
      <c r="M35" s="183">
        <f t="shared" si="5"/>
        <v>21</v>
      </c>
      <c r="N35" s="1197">
        <f t="shared" si="12"/>
        <v>21</v>
      </c>
      <c r="O35" s="926"/>
    </row>
    <row r="36" spans="1:15" s="13" customFormat="1" ht="18">
      <c r="A36" s="919">
        <v>12</v>
      </c>
      <c r="B36" s="18" t="s">
        <v>34</v>
      </c>
      <c r="C36" s="773" t="s">
        <v>2030</v>
      </c>
      <c r="D36" s="335">
        <v>10</v>
      </c>
      <c r="E36" s="335">
        <v>10</v>
      </c>
      <c r="F36" s="335">
        <v>11</v>
      </c>
      <c r="G36" s="182">
        <v>20</v>
      </c>
      <c r="H36" s="183">
        <f t="shared" si="1"/>
        <v>20</v>
      </c>
      <c r="I36" s="183">
        <f t="shared" si="2"/>
        <v>20</v>
      </c>
      <c r="J36" s="183">
        <v>21</v>
      </c>
      <c r="K36" s="183">
        <f t="shared" si="3"/>
        <v>21</v>
      </c>
      <c r="L36" s="183">
        <f t="shared" si="4"/>
        <v>21</v>
      </c>
      <c r="M36" s="183">
        <f t="shared" si="5"/>
        <v>21</v>
      </c>
      <c r="N36" s="1197">
        <f t="shared" si="12"/>
        <v>21</v>
      </c>
      <c r="O36" s="926"/>
    </row>
    <row r="37" spans="1:15" s="13" customFormat="1" ht="18">
      <c r="A37" s="919">
        <v>13</v>
      </c>
      <c r="B37" s="18" t="s">
        <v>35</v>
      </c>
      <c r="C37" s="773" t="s">
        <v>2030</v>
      </c>
      <c r="D37" s="335">
        <v>10</v>
      </c>
      <c r="E37" s="335">
        <v>10</v>
      </c>
      <c r="F37" s="335">
        <v>11</v>
      </c>
      <c r="G37" s="182">
        <v>21</v>
      </c>
      <c r="H37" s="183">
        <f t="shared" si="1"/>
        <v>21</v>
      </c>
      <c r="I37" s="183">
        <f t="shared" si="2"/>
        <v>21</v>
      </c>
      <c r="J37" s="183">
        <v>22</v>
      </c>
      <c r="K37" s="183">
        <f t="shared" si="3"/>
        <v>22</v>
      </c>
      <c r="L37" s="183">
        <f t="shared" si="4"/>
        <v>22</v>
      </c>
      <c r="M37" s="183">
        <f t="shared" si="5"/>
        <v>22</v>
      </c>
      <c r="N37" s="1197">
        <f t="shared" si="12"/>
        <v>22</v>
      </c>
      <c r="O37" s="926"/>
    </row>
    <row r="38" spans="1:15" s="13" customFormat="1" ht="18">
      <c r="A38" s="919">
        <v>14</v>
      </c>
      <c r="B38" s="18" t="s">
        <v>36</v>
      </c>
      <c r="C38" s="773" t="s">
        <v>2030</v>
      </c>
      <c r="D38" s="335">
        <v>10</v>
      </c>
      <c r="E38" s="335">
        <v>10</v>
      </c>
      <c r="F38" s="335">
        <v>11</v>
      </c>
      <c r="G38" s="182">
        <v>20</v>
      </c>
      <c r="H38" s="183">
        <f t="shared" si="1"/>
        <v>20</v>
      </c>
      <c r="I38" s="183">
        <f t="shared" si="2"/>
        <v>20</v>
      </c>
      <c r="J38" s="183">
        <f>I38*1.1</f>
        <v>22</v>
      </c>
      <c r="K38" s="183">
        <f t="shared" si="3"/>
        <v>22</v>
      </c>
      <c r="L38" s="183">
        <f t="shared" si="4"/>
        <v>22</v>
      </c>
      <c r="M38" s="183">
        <f t="shared" si="5"/>
        <v>22</v>
      </c>
      <c r="N38" s="1197">
        <f t="shared" si="12"/>
        <v>22</v>
      </c>
      <c r="O38" s="926"/>
    </row>
    <row r="39" spans="1:15" ht="28.5">
      <c r="A39" s="919">
        <v>15</v>
      </c>
      <c r="B39" s="20" t="s">
        <v>37</v>
      </c>
      <c r="C39" s="773" t="s">
        <v>1764</v>
      </c>
      <c r="D39" s="337">
        <v>200</v>
      </c>
      <c r="E39" s="337">
        <v>220</v>
      </c>
      <c r="F39" s="337">
        <v>250</v>
      </c>
      <c r="G39" s="182">
        <v>450</v>
      </c>
      <c r="H39" s="183">
        <f t="shared" si="1"/>
        <v>450</v>
      </c>
      <c r="I39" s="183">
        <f t="shared" si="2"/>
        <v>450</v>
      </c>
      <c r="J39" s="183">
        <v>600</v>
      </c>
      <c r="K39" s="183">
        <f t="shared" si="3"/>
        <v>600</v>
      </c>
      <c r="L39" s="183">
        <f t="shared" si="4"/>
        <v>600</v>
      </c>
      <c r="M39" s="183">
        <f t="shared" si="5"/>
        <v>600</v>
      </c>
      <c r="N39" s="1197">
        <f t="shared" si="12"/>
        <v>600</v>
      </c>
      <c r="O39" s="927"/>
    </row>
    <row r="40" spans="1:15" s="6" customFormat="1" ht="20.25">
      <c r="A40" s="913">
        <v>16</v>
      </c>
      <c r="B40" s="415" t="s">
        <v>38</v>
      </c>
      <c r="C40" s="775"/>
      <c r="D40" s="408"/>
      <c r="E40" s="408"/>
      <c r="F40" s="408"/>
      <c r="G40" s="400"/>
      <c r="H40" s="401">
        <f t="shared" si="1"/>
        <v>0</v>
      </c>
      <c r="I40" s="401">
        <f t="shared" si="2"/>
        <v>0</v>
      </c>
      <c r="J40" s="401"/>
      <c r="K40" s="401">
        <f t="shared" si="3"/>
        <v>0</v>
      </c>
      <c r="L40" s="401"/>
      <c r="M40" s="401"/>
      <c r="N40" s="1198"/>
      <c r="O40" s="928"/>
    </row>
    <row r="41" spans="1:15" ht="20.25">
      <c r="A41" s="929">
        <f>A40+0.01</f>
        <v>16.010000000000002</v>
      </c>
      <c r="B41" s="18" t="s">
        <v>39</v>
      </c>
      <c r="C41" s="773" t="s">
        <v>1772</v>
      </c>
      <c r="D41" s="337">
        <v>15</v>
      </c>
      <c r="E41" s="337">
        <v>15</v>
      </c>
      <c r="F41" s="337">
        <v>10</v>
      </c>
      <c r="G41" s="356">
        <v>13</v>
      </c>
      <c r="H41" s="183">
        <f t="shared" si="1"/>
        <v>13</v>
      </c>
      <c r="I41" s="183">
        <f t="shared" si="2"/>
        <v>13</v>
      </c>
      <c r="J41" s="183">
        <v>15</v>
      </c>
      <c r="K41" s="183">
        <f t="shared" si="3"/>
        <v>15</v>
      </c>
      <c r="L41" s="183">
        <f t="shared" si="4"/>
        <v>15</v>
      </c>
      <c r="M41" s="183">
        <f t="shared" si="5"/>
        <v>15</v>
      </c>
      <c r="N41" s="1197">
        <f>M41</f>
        <v>15</v>
      </c>
      <c r="O41" s="930"/>
    </row>
    <row r="42" spans="1:15" ht="20.25">
      <c r="A42" s="929">
        <f t="shared" ref="A42:A44" si="13">A41+0.01</f>
        <v>16.020000000000003</v>
      </c>
      <c r="B42" s="18" t="s">
        <v>40</v>
      </c>
      <c r="C42" s="773" t="s">
        <v>1772</v>
      </c>
      <c r="D42" s="337">
        <v>20</v>
      </c>
      <c r="E42" s="337">
        <v>20</v>
      </c>
      <c r="F42" s="337">
        <v>15</v>
      </c>
      <c r="G42" s="182">
        <v>16.5</v>
      </c>
      <c r="H42" s="183">
        <f t="shared" si="1"/>
        <v>16.5</v>
      </c>
      <c r="I42" s="183">
        <f t="shared" si="2"/>
        <v>16.5</v>
      </c>
      <c r="J42" s="183">
        <v>18</v>
      </c>
      <c r="K42" s="183">
        <f t="shared" si="3"/>
        <v>18</v>
      </c>
      <c r="L42" s="183">
        <f t="shared" si="4"/>
        <v>18</v>
      </c>
      <c r="M42" s="183">
        <f t="shared" si="5"/>
        <v>18</v>
      </c>
      <c r="N42" s="1197">
        <f t="shared" ref="N42:N44" si="14">M42</f>
        <v>18</v>
      </c>
      <c r="O42" s="930"/>
    </row>
    <row r="43" spans="1:15" ht="20.25">
      <c r="A43" s="929">
        <f t="shared" si="13"/>
        <v>16.030000000000005</v>
      </c>
      <c r="B43" s="18" t="s">
        <v>42</v>
      </c>
      <c r="C43" s="773" t="s">
        <v>1772</v>
      </c>
      <c r="D43" s="337">
        <v>20</v>
      </c>
      <c r="E43" s="337">
        <v>20</v>
      </c>
      <c r="F43" s="337">
        <v>15</v>
      </c>
      <c r="G43" s="182">
        <v>20</v>
      </c>
      <c r="H43" s="183">
        <f t="shared" si="1"/>
        <v>20</v>
      </c>
      <c r="I43" s="183">
        <f t="shared" si="2"/>
        <v>20</v>
      </c>
      <c r="J43" s="183">
        <v>22</v>
      </c>
      <c r="K43" s="183">
        <f t="shared" si="3"/>
        <v>22</v>
      </c>
      <c r="L43" s="183">
        <f t="shared" si="4"/>
        <v>22</v>
      </c>
      <c r="M43" s="183">
        <f t="shared" si="5"/>
        <v>22</v>
      </c>
      <c r="N43" s="1197">
        <f t="shared" si="14"/>
        <v>22</v>
      </c>
      <c r="O43" s="930"/>
    </row>
    <row r="44" spans="1:15" ht="20.25">
      <c r="A44" s="929">
        <f t="shared" si="13"/>
        <v>16.040000000000006</v>
      </c>
      <c r="B44" s="18" t="s">
        <v>44</v>
      </c>
      <c r="C44" s="773" t="s">
        <v>1772</v>
      </c>
      <c r="D44" s="337">
        <v>20</v>
      </c>
      <c r="E44" s="337">
        <v>20</v>
      </c>
      <c r="F44" s="337">
        <v>15</v>
      </c>
      <c r="G44" s="182">
        <v>25</v>
      </c>
      <c r="H44" s="183">
        <f t="shared" si="1"/>
        <v>25</v>
      </c>
      <c r="I44" s="183">
        <f t="shared" si="2"/>
        <v>25</v>
      </c>
      <c r="J44" s="183">
        <v>27</v>
      </c>
      <c r="K44" s="183">
        <f t="shared" si="3"/>
        <v>27</v>
      </c>
      <c r="L44" s="183">
        <f t="shared" si="4"/>
        <v>27</v>
      </c>
      <c r="M44" s="183">
        <f t="shared" si="5"/>
        <v>27</v>
      </c>
      <c r="N44" s="1197">
        <f t="shared" si="14"/>
        <v>27</v>
      </c>
      <c r="O44" s="930"/>
    </row>
    <row r="45" spans="1:15" ht="20.25">
      <c r="A45" s="913">
        <v>17</v>
      </c>
      <c r="B45" s="406" t="s">
        <v>45</v>
      </c>
      <c r="C45" s="775"/>
      <c r="D45" s="407"/>
      <c r="E45" s="407"/>
      <c r="F45" s="407"/>
      <c r="G45" s="400"/>
      <c r="H45" s="401">
        <f t="shared" si="1"/>
        <v>0</v>
      </c>
      <c r="I45" s="401">
        <f t="shared" si="2"/>
        <v>0</v>
      </c>
      <c r="J45" s="401"/>
      <c r="K45" s="401">
        <f t="shared" si="3"/>
        <v>0</v>
      </c>
      <c r="L45" s="401"/>
      <c r="M45" s="401"/>
      <c r="N45" s="1198"/>
      <c r="O45" s="931"/>
    </row>
    <row r="46" spans="1:15" ht="20.25">
      <c r="A46" s="932" t="s">
        <v>1860</v>
      </c>
      <c r="B46" s="416" t="s">
        <v>46</v>
      </c>
      <c r="C46" s="774"/>
      <c r="D46" s="418"/>
      <c r="E46" s="418"/>
      <c r="F46" s="418"/>
      <c r="G46" s="419"/>
      <c r="H46" s="420">
        <f t="shared" si="1"/>
        <v>0</v>
      </c>
      <c r="I46" s="420">
        <f t="shared" si="2"/>
        <v>0</v>
      </c>
      <c r="J46" s="420">
        <v>5</v>
      </c>
      <c r="K46" s="420">
        <f t="shared" si="3"/>
        <v>5</v>
      </c>
      <c r="L46" s="420"/>
      <c r="M46" s="420"/>
      <c r="N46" s="1199"/>
      <c r="O46" s="933"/>
    </row>
    <row r="47" spans="1:15" ht="20.25">
      <c r="A47" s="923">
        <v>1</v>
      </c>
      <c r="B47" s="355" t="s">
        <v>47</v>
      </c>
      <c r="C47" s="773" t="s">
        <v>2031</v>
      </c>
      <c r="D47" s="336">
        <v>1.5</v>
      </c>
      <c r="E47" s="336">
        <v>1.5</v>
      </c>
      <c r="F47" s="336">
        <v>1.7</v>
      </c>
      <c r="G47" s="182">
        <v>2.65</v>
      </c>
      <c r="H47" s="183">
        <f t="shared" si="1"/>
        <v>2.65</v>
      </c>
      <c r="I47" s="183">
        <f t="shared" si="2"/>
        <v>2.65</v>
      </c>
      <c r="J47" s="183">
        <v>4</v>
      </c>
      <c r="K47" s="183">
        <f t="shared" si="3"/>
        <v>4</v>
      </c>
      <c r="L47" s="183">
        <f t="shared" si="4"/>
        <v>4</v>
      </c>
      <c r="M47" s="183">
        <f t="shared" si="5"/>
        <v>4</v>
      </c>
      <c r="N47" s="1197">
        <f>M47</f>
        <v>4</v>
      </c>
      <c r="O47" s="934"/>
    </row>
    <row r="48" spans="1:15" ht="20.25">
      <c r="A48" s="923">
        <v>2</v>
      </c>
      <c r="B48" s="355" t="s">
        <v>48</v>
      </c>
      <c r="C48" s="773" t="s">
        <v>2031</v>
      </c>
      <c r="D48" s="336">
        <v>1.3</v>
      </c>
      <c r="E48" s="336">
        <v>1.3</v>
      </c>
      <c r="F48" s="336">
        <v>1.5</v>
      </c>
      <c r="G48" s="182">
        <v>2.35</v>
      </c>
      <c r="H48" s="183">
        <f t="shared" si="1"/>
        <v>2.35</v>
      </c>
      <c r="I48" s="183">
        <f t="shared" si="2"/>
        <v>2.35</v>
      </c>
      <c r="J48" s="183">
        <v>4</v>
      </c>
      <c r="K48" s="183">
        <f t="shared" si="3"/>
        <v>4</v>
      </c>
      <c r="L48" s="183">
        <f t="shared" si="4"/>
        <v>4</v>
      </c>
      <c r="M48" s="183">
        <f t="shared" si="5"/>
        <v>4</v>
      </c>
      <c r="N48" s="1197">
        <f t="shared" ref="N48:N49" si="15">M48</f>
        <v>4</v>
      </c>
      <c r="O48" s="934"/>
    </row>
    <row r="49" spans="1:19" ht="20.25">
      <c r="A49" s="923">
        <v>3</v>
      </c>
      <c r="B49" s="355" t="s">
        <v>49</v>
      </c>
      <c r="C49" s="773" t="s">
        <v>2031</v>
      </c>
      <c r="D49" s="336">
        <v>1</v>
      </c>
      <c r="E49" s="336">
        <v>1</v>
      </c>
      <c r="F49" s="336">
        <v>1.2</v>
      </c>
      <c r="G49" s="182">
        <v>1.85</v>
      </c>
      <c r="H49" s="183">
        <f t="shared" si="1"/>
        <v>1.85</v>
      </c>
      <c r="I49" s="183">
        <f t="shared" si="2"/>
        <v>1.85</v>
      </c>
      <c r="J49" s="183">
        <v>2</v>
      </c>
      <c r="K49" s="183">
        <f t="shared" si="3"/>
        <v>2</v>
      </c>
      <c r="L49" s="183">
        <f t="shared" si="4"/>
        <v>2</v>
      </c>
      <c r="M49" s="183">
        <f t="shared" si="5"/>
        <v>2</v>
      </c>
      <c r="N49" s="1197">
        <f t="shared" si="15"/>
        <v>2</v>
      </c>
      <c r="O49" s="934"/>
    </row>
    <row r="50" spans="1:19" ht="20.25">
      <c r="A50" s="932" t="s">
        <v>1861</v>
      </c>
      <c r="B50" s="416" t="s">
        <v>50</v>
      </c>
      <c r="C50" s="774"/>
      <c r="D50" s="421"/>
      <c r="E50" s="421"/>
      <c r="F50" s="421"/>
      <c r="G50" s="419"/>
      <c r="H50" s="420">
        <f t="shared" si="1"/>
        <v>0</v>
      </c>
      <c r="I50" s="420">
        <f t="shared" si="2"/>
        <v>0</v>
      </c>
      <c r="J50" s="420"/>
      <c r="K50" s="420">
        <f t="shared" si="3"/>
        <v>0</v>
      </c>
      <c r="L50" s="420">
        <f t="shared" si="4"/>
        <v>0</v>
      </c>
      <c r="M50" s="420">
        <f t="shared" si="5"/>
        <v>0</v>
      </c>
      <c r="N50" s="1199"/>
      <c r="O50" s="933"/>
    </row>
    <row r="51" spans="1:19" ht="20.25">
      <c r="A51" s="923">
        <v>1</v>
      </c>
      <c r="B51" s="355" t="s">
        <v>47</v>
      </c>
      <c r="C51" s="773" t="s">
        <v>2031</v>
      </c>
      <c r="D51" s="336">
        <v>2</v>
      </c>
      <c r="E51" s="336">
        <v>2</v>
      </c>
      <c r="F51" s="336">
        <v>2.2000000000000002</v>
      </c>
      <c r="G51" s="182">
        <v>3.4</v>
      </c>
      <c r="H51" s="183">
        <f t="shared" si="1"/>
        <v>3.4</v>
      </c>
      <c r="I51" s="183">
        <f t="shared" si="2"/>
        <v>3.4</v>
      </c>
      <c r="J51" s="183">
        <v>5</v>
      </c>
      <c r="K51" s="183">
        <f t="shared" si="3"/>
        <v>5</v>
      </c>
      <c r="L51" s="183">
        <f t="shared" si="4"/>
        <v>5</v>
      </c>
      <c r="M51" s="183">
        <f t="shared" si="5"/>
        <v>5</v>
      </c>
      <c r="N51" s="1197">
        <f>M51</f>
        <v>5</v>
      </c>
      <c r="O51" s="934"/>
    </row>
    <row r="52" spans="1:19" ht="20.25">
      <c r="A52" s="923">
        <v>2</v>
      </c>
      <c r="B52" s="355" t="s">
        <v>48</v>
      </c>
      <c r="C52" s="773" t="s">
        <v>2031</v>
      </c>
      <c r="D52" s="336">
        <v>1.75</v>
      </c>
      <c r="E52" s="336">
        <v>1.75</v>
      </c>
      <c r="F52" s="336">
        <v>1.95</v>
      </c>
      <c r="G52" s="182">
        <v>3.1</v>
      </c>
      <c r="H52" s="183">
        <f t="shared" si="1"/>
        <v>3.1</v>
      </c>
      <c r="I52" s="183">
        <f t="shared" si="2"/>
        <v>3.1</v>
      </c>
      <c r="J52" s="183">
        <v>5</v>
      </c>
      <c r="K52" s="183">
        <f t="shared" si="3"/>
        <v>5</v>
      </c>
      <c r="L52" s="183">
        <f t="shared" si="4"/>
        <v>5</v>
      </c>
      <c r="M52" s="183">
        <f t="shared" si="5"/>
        <v>5</v>
      </c>
      <c r="N52" s="1197">
        <f t="shared" ref="N52:N53" si="16">M52</f>
        <v>5</v>
      </c>
      <c r="O52" s="934"/>
    </row>
    <row r="53" spans="1:19" ht="20.25">
      <c r="A53" s="923">
        <v>3</v>
      </c>
      <c r="B53" s="355" t="s">
        <v>49</v>
      </c>
      <c r="C53" s="773" t="s">
        <v>2031</v>
      </c>
      <c r="D53" s="336">
        <v>1.5</v>
      </c>
      <c r="E53" s="336">
        <v>1.5</v>
      </c>
      <c r="F53" s="336">
        <v>1.7</v>
      </c>
      <c r="G53" s="182">
        <v>2.65</v>
      </c>
      <c r="H53" s="183">
        <f t="shared" si="1"/>
        <v>2.65</v>
      </c>
      <c r="I53" s="183">
        <f t="shared" si="2"/>
        <v>2.65</v>
      </c>
      <c r="J53" s="183">
        <v>4</v>
      </c>
      <c r="K53" s="183">
        <f t="shared" si="3"/>
        <v>4</v>
      </c>
      <c r="L53" s="183">
        <f t="shared" si="4"/>
        <v>4</v>
      </c>
      <c r="M53" s="183">
        <f t="shared" si="5"/>
        <v>4</v>
      </c>
      <c r="N53" s="1197">
        <f t="shared" si="16"/>
        <v>4</v>
      </c>
      <c r="O53" s="934"/>
    </row>
    <row r="54" spans="1:19" s="6" customFormat="1" ht="23.25">
      <c r="A54" s="913">
        <v>18</v>
      </c>
      <c r="B54" s="402" t="s">
        <v>1440</v>
      </c>
      <c r="C54" s="776"/>
      <c r="D54" s="403"/>
      <c r="E54" s="403"/>
      <c r="F54" s="403"/>
      <c r="G54" s="404"/>
      <c r="H54" s="405"/>
      <c r="I54" s="405"/>
      <c r="J54" s="405"/>
      <c r="K54" s="405">
        <f t="shared" si="3"/>
        <v>0</v>
      </c>
      <c r="L54" s="405">
        <f t="shared" si="4"/>
        <v>0</v>
      </c>
      <c r="M54" s="401">
        <f t="shared" si="5"/>
        <v>0</v>
      </c>
      <c r="N54" s="1198"/>
      <c r="O54" s="935"/>
    </row>
    <row r="55" spans="1:19" ht="23.25">
      <c r="A55" s="929">
        <f>A54+0.01</f>
        <v>18.010000000000002</v>
      </c>
      <c r="B55" s="232" t="s">
        <v>1441</v>
      </c>
      <c r="C55" s="773" t="s">
        <v>1442</v>
      </c>
      <c r="D55" s="341"/>
      <c r="E55" s="341"/>
      <c r="F55" s="341"/>
      <c r="G55" s="230"/>
      <c r="H55" s="231"/>
      <c r="I55" s="233">
        <v>50</v>
      </c>
      <c r="J55" s="233">
        <v>60</v>
      </c>
      <c r="K55" s="231">
        <f t="shared" si="3"/>
        <v>60</v>
      </c>
      <c r="L55" s="231">
        <f t="shared" si="4"/>
        <v>60</v>
      </c>
      <c r="M55" s="183">
        <f t="shared" si="5"/>
        <v>60</v>
      </c>
      <c r="N55" s="1197">
        <f>M55</f>
        <v>60</v>
      </c>
      <c r="O55" s="936"/>
    </row>
    <row r="56" spans="1:19" ht="23.25">
      <c r="A56" s="929">
        <f t="shared" ref="A56:A57" si="17">A55+0.01</f>
        <v>18.020000000000003</v>
      </c>
      <c r="B56" s="232" t="s">
        <v>1443</v>
      </c>
      <c r="C56" s="773" t="s">
        <v>1764</v>
      </c>
      <c r="D56" s="341"/>
      <c r="E56" s="341"/>
      <c r="F56" s="341"/>
      <c r="G56" s="230"/>
      <c r="H56" s="231"/>
      <c r="I56" s="233">
        <v>350</v>
      </c>
      <c r="J56" s="233">
        <v>400</v>
      </c>
      <c r="K56" s="231">
        <f t="shared" si="3"/>
        <v>400</v>
      </c>
      <c r="L56" s="231">
        <f t="shared" si="4"/>
        <v>400</v>
      </c>
      <c r="M56" s="183">
        <f t="shared" si="5"/>
        <v>400</v>
      </c>
      <c r="N56" s="1197">
        <f t="shared" ref="N56:N61" si="18">M56</f>
        <v>400</v>
      </c>
      <c r="O56" s="936"/>
    </row>
    <row r="57" spans="1:19" ht="23.25">
      <c r="A57" s="929">
        <f t="shared" si="17"/>
        <v>18.030000000000005</v>
      </c>
      <c r="B57" s="232" t="s">
        <v>1444</v>
      </c>
      <c r="C57" s="773" t="s">
        <v>1445</v>
      </c>
      <c r="D57" s="341"/>
      <c r="E57" s="341"/>
      <c r="F57" s="341"/>
      <c r="G57" s="230"/>
      <c r="H57" s="231"/>
      <c r="I57" s="233">
        <v>0.5</v>
      </c>
      <c r="J57" s="233">
        <v>0.6</v>
      </c>
      <c r="K57" s="231">
        <f t="shared" si="3"/>
        <v>0.6</v>
      </c>
      <c r="L57" s="231">
        <f t="shared" si="4"/>
        <v>0.6</v>
      </c>
      <c r="M57" s="183">
        <f t="shared" si="5"/>
        <v>0.6</v>
      </c>
      <c r="N57" s="1197">
        <f t="shared" si="18"/>
        <v>0.6</v>
      </c>
      <c r="O57" s="936"/>
      <c r="P57" s="5" t="s">
        <v>2496</v>
      </c>
      <c r="Q57" s="5" t="s">
        <v>2357</v>
      </c>
    </row>
    <row r="58" spans="1:19" ht="39">
      <c r="A58" s="250">
        <v>19</v>
      </c>
      <c r="B58" s="234" t="s">
        <v>2548</v>
      </c>
      <c r="C58" s="281" t="s">
        <v>1931</v>
      </c>
      <c r="D58" s="341"/>
      <c r="E58" s="341"/>
      <c r="F58" s="341"/>
      <c r="G58" s="341"/>
      <c r="H58" s="341"/>
      <c r="I58" s="341"/>
      <c r="J58" s="341"/>
      <c r="K58" s="1030" t="s">
        <v>2160</v>
      </c>
      <c r="L58" s="1030" t="s">
        <v>2160</v>
      </c>
      <c r="M58" s="341">
        <v>5900</v>
      </c>
      <c r="N58" s="1197">
        <f t="shared" si="18"/>
        <v>5900</v>
      </c>
      <c r="O58" s="1034"/>
      <c r="P58" s="4">
        <v>6350</v>
      </c>
      <c r="Q58" s="4"/>
      <c r="S58" s="4"/>
    </row>
    <row r="59" spans="1:19" ht="39">
      <c r="A59" s="250">
        <v>20</v>
      </c>
      <c r="B59" s="234" t="s">
        <v>2549</v>
      </c>
      <c r="C59" s="281" t="s">
        <v>1931</v>
      </c>
      <c r="D59" s="341"/>
      <c r="E59" s="341"/>
      <c r="F59" s="341"/>
      <c r="G59" s="341"/>
      <c r="H59" s="341"/>
      <c r="I59" s="341"/>
      <c r="J59" s="341"/>
      <c r="K59" s="1030" t="s">
        <v>2160</v>
      </c>
      <c r="L59" s="1030" t="s">
        <v>2160</v>
      </c>
      <c r="M59" s="341">
        <f>M58-2500</f>
        <v>3400</v>
      </c>
      <c r="N59" s="1197">
        <f t="shared" si="18"/>
        <v>3400</v>
      </c>
      <c r="O59" s="1034"/>
      <c r="P59" s="4"/>
      <c r="Q59" s="1032">
        <v>4000</v>
      </c>
      <c r="S59" s="4"/>
    </row>
    <row r="60" spans="1:19" ht="39">
      <c r="A60" s="250">
        <v>21</v>
      </c>
      <c r="B60" s="234" t="s">
        <v>2550</v>
      </c>
      <c r="C60" s="281" t="s">
        <v>1931</v>
      </c>
      <c r="D60" s="341"/>
      <c r="E60" s="341"/>
      <c r="F60" s="341"/>
      <c r="G60" s="341"/>
      <c r="H60" s="341"/>
      <c r="I60" s="341"/>
      <c r="J60" s="341"/>
      <c r="K60" s="1030" t="s">
        <v>2160</v>
      </c>
      <c r="L60" s="1030" t="s">
        <v>2160</v>
      </c>
      <c r="M60" s="341">
        <v>6800</v>
      </c>
      <c r="N60" s="1197">
        <f t="shared" si="18"/>
        <v>6800</v>
      </c>
      <c r="O60" s="1034"/>
      <c r="P60" s="4">
        <v>7620</v>
      </c>
      <c r="Q60" s="4"/>
      <c r="S60" s="4"/>
    </row>
    <row r="61" spans="1:19" ht="39.75" thickBot="1">
      <c r="A61" s="937">
        <v>22</v>
      </c>
      <c r="B61" s="938" t="s">
        <v>2551</v>
      </c>
      <c r="C61" s="939" t="s">
        <v>1931</v>
      </c>
      <c r="D61" s="940"/>
      <c r="E61" s="940"/>
      <c r="F61" s="940"/>
      <c r="G61" s="940"/>
      <c r="H61" s="940"/>
      <c r="I61" s="940"/>
      <c r="J61" s="940"/>
      <c r="K61" s="1031" t="s">
        <v>2160</v>
      </c>
      <c r="L61" s="1031" t="s">
        <v>2160</v>
      </c>
      <c r="M61" s="940">
        <v>4350</v>
      </c>
      <c r="N61" s="1216">
        <f t="shared" si="18"/>
        <v>4350</v>
      </c>
      <c r="O61" s="1079"/>
      <c r="P61" s="4"/>
      <c r="Q61" s="1032">
        <v>4000</v>
      </c>
      <c r="S61" s="4"/>
    </row>
    <row r="62" spans="1:19" ht="18">
      <c r="A62" s="1335"/>
      <c r="B62" s="1601" t="s">
        <v>2652</v>
      </c>
      <c r="C62" s="1602"/>
      <c r="D62" s="1602"/>
      <c r="E62" s="1602"/>
      <c r="F62" s="1602"/>
      <c r="G62" s="1602"/>
      <c r="H62" s="1602"/>
      <c r="I62" s="1602"/>
      <c r="J62" s="1602"/>
      <c r="K62" s="1602"/>
      <c r="L62" s="1602"/>
      <c r="M62" s="1602"/>
      <c r="N62" s="1602"/>
      <c r="O62" s="1602"/>
    </row>
    <row r="63" spans="1:19" ht="18">
      <c r="A63" s="1336">
        <v>1</v>
      </c>
      <c r="B63" s="1600" t="s">
        <v>2653</v>
      </c>
      <c r="C63" s="1600"/>
      <c r="D63" s="1600"/>
      <c r="E63" s="1600"/>
      <c r="F63" s="1600"/>
      <c r="G63" s="1600"/>
      <c r="H63" s="1600"/>
      <c r="I63" s="1600"/>
      <c r="J63" s="1600"/>
      <c r="K63" s="1600"/>
      <c r="L63" s="1600"/>
      <c r="M63" s="1600"/>
      <c r="N63" s="1600"/>
      <c r="O63" s="1600"/>
    </row>
    <row r="64" spans="1:19" ht="18">
      <c r="A64" s="1336">
        <v>2</v>
      </c>
      <c r="B64" s="1600" t="s">
        <v>2654</v>
      </c>
      <c r="C64" s="1600"/>
      <c r="D64" s="1600"/>
      <c r="E64" s="1600"/>
      <c r="F64" s="1600"/>
      <c r="G64" s="1600"/>
      <c r="H64" s="1600"/>
      <c r="I64" s="1600"/>
      <c r="J64" s="1600"/>
      <c r="K64" s="1600"/>
      <c r="L64" s="1600"/>
      <c r="M64" s="1600"/>
      <c r="N64" s="1600"/>
      <c r="O64" s="1600"/>
    </row>
  </sheetData>
  <mergeCells count="4">
    <mergeCell ref="B63:O63"/>
    <mergeCell ref="B64:O64"/>
    <mergeCell ref="B62:O62"/>
    <mergeCell ref="A1:O1"/>
  </mergeCells>
  <conditionalFormatting sqref="D3:N3">
    <cfRule type="cellIs" dxfId="2" priority="1" stopIfTrue="1" operator="greaterThan">
      <formula>0</formula>
    </cfRule>
  </conditionalFormatting>
  <printOptions horizontalCentered="1"/>
  <pageMargins left="1.24" right="0.19" top="1.03" bottom="0.73" header="0.5" footer="0.56999999999999995"/>
  <pageSetup paperSize="9" scale="71" fitToHeight="0" orientation="portrait" horizontalDpi="300" verticalDpi="300" r:id="rId1"/>
  <headerFooter alignWithMargins="0">
    <oddHeader>&amp;Lजिल्ला : नवलपरासी (ब.सु.प.)&amp;Rजिल्ला दररेट आ.व.२०८२/०८३</oddHeader>
    <oddFooter xml:space="preserve">&amp;C&amp;"Nepali, Plain"&amp;16&amp;P&amp;"-,Regular"&amp;11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AB210"/>
  <sheetViews>
    <sheetView tabSelected="1" showWhiteSpace="0" view="pageBreakPreview" topLeftCell="A26" zoomScale="130" zoomScaleSheetLayoutView="130" workbookViewId="0">
      <selection activeCell="D24" sqref="D24"/>
    </sheetView>
  </sheetViews>
  <sheetFormatPr defaultColWidth="9.28515625" defaultRowHeight="15"/>
  <cols>
    <col min="1" max="1" width="6.5703125" style="60" customWidth="1"/>
    <col min="2" max="2" width="46.28515625" style="61" customWidth="1"/>
    <col min="3" max="3" width="10.28515625" style="60" customWidth="1"/>
    <col min="4" max="4" width="4.42578125" style="60" hidden="1" customWidth="1"/>
    <col min="5" max="5" width="9.7109375" style="62" hidden="1" customWidth="1"/>
    <col min="6" max="6" width="10.28515625" style="62" hidden="1" customWidth="1"/>
    <col min="7" max="7" width="4.42578125" style="62" hidden="1" customWidth="1"/>
    <col min="8" max="8" width="12.28515625" style="62" hidden="1" customWidth="1"/>
    <col min="9" max="13" width="13.7109375" style="62" hidden="1" customWidth="1"/>
    <col min="14" max="16" width="13.7109375" style="62" customWidth="1"/>
    <col min="17" max="17" width="8.28515625" style="13" customWidth="1"/>
    <col min="18" max="18" width="10.28515625" style="13" customWidth="1"/>
    <col min="19" max="19" width="15.28515625" style="13" customWidth="1"/>
    <col min="20" max="20" width="14.42578125" style="13" customWidth="1"/>
    <col min="21" max="21" width="9.28515625" style="13" customWidth="1"/>
    <col min="22" max="23" width="10.140625" style="13" customWidth="1"/>
    <col min="24" max="24" width="12.5703125" style="13" hidden="1" customWidth="1"/>
    <col min="25" max="25" width="9.28515625" style="13"/>
    <col min="26" max="26" width="10.85546875" style="13" customWidth="1"/>
    <col min="27" max="27" width="9.7109375" style="13" bestFit="1" customWidth="1"/>
    <col min="28" max="16384" width="9.28515625" style="13"/>
  </cols>
  <sheetData>
    <row r="1" spans="1:28" ht="29.25" thickBot="1">
      <c r="A1" s="1606" t="s">
        <v>2182</v>
      </c>
      <c r="B1" s="1606"/>
      <c r="C1" s="1606"/>
      <c r="D1" s="1606"/>
      <c r="E1" s="1606"/>
      <c r="F1" s="1606"/>
      <c r="G1" s="1606"/>
      <c r="H1" s="1606"/>
      <c r="I1" s="1606"/>
      <c r="J1" s="1606"/>
      <c r="K1" s="1606"/>
      <c r="L1" s="1606"/>
      <c r="M1" s="1606"/>
      <c r="N1" s="1606"/>
      <c r="O1" s="1606"/>
      <c r="P1" s="1606"/>
      <c r="Q1" s="1606"/>
      <c r="R1" s="428"/>
    </row>
    <row r="2" spans="1:28" ht="56.25" customHeight="1">
      <c r="A2" s="481" t="s">
        <v>0</v>
      </c>
      <c r="B2" s="482" t="s">
        <v>51</v>
      </c>
      <c r="C2" s="482" t="s">
        <v>8</v>
      </c>
      <c r="D2" s="484" t="s">
        <v>52</v>
      </c>
      <c r="E2" s="485" t="s">
        <v>53</v>
      </c>
      <c r="F2" s="485" t="s">
        <v>54</v>
      </c>
      <c r="G2" s="485" t="s">
        <v>55</v>
      </c>
      <c r="H2" s="487" t="s">
        <v>1416</v>
      </c>
      <c r="I2" s="487" t="s">
        <v>1417</v>
      </c>
      <c r="J2" s="487" t="s">
        <v>1428</v>
      </c>
      <c r="K2" s="487" t="s">
        <v>1432</v>
      </c>
      <c r="L2" s="487" t="str">
        <f>'Dhuwani_Machine_Upakaran Final'!J2</f>
        <v>आ.व. २०७९/०८० को दररेट</v>
      </c>
      <c r="M2" s="487" t="str">
        <f>'Dhuwani_Machine_Upakaran Final'!K2</f>
        <v>आ.व. २०८०/०८१ को दररेट</v>
      </c>
      <c r="N2" s="487" t="str">
        <f>'Dhuwani_Machine_Upakaran Final'!L2</f>
        <v>आ.व. २०८१/०८२ को दररेट</v>
      </c>
      <c r="O2" s="487" t="str">
        <f>'Dhuwani_Machine_Upakaran Final'!M2</f>
        <v>आ.व. २०८२/०८३ को दररेट</v>
      </c>
      <c r="P2" s="487" t="str">
        <f>'Dhuwani_Machine_Upakaran Final'!N2</f>
        <v>आ.व. २०८३/०८४ को दररेट</v>
      </c>
      <c r="Q2" s="943" t="s">
        <v>9</v>
      </c>
      <c r="R2" s="472"/>
    </row>
    <row r="3" spans="1:28" ht="19.5">
      <c r="A3" s="888">
        <v>1</v>
      </c>
      <c r="B3" s="380" t="s">
        <v>1865</v>
      </c>
      <c r="C3" s="381"/>
      <c r="D3" s="382"/>
      <c r="E3" s="377"/>
      <c r="F3" s="377"/>
      <c r="G3" s="377"/>
      <c r="H3" s="377"/>
      <c r="I3" s="377"/>
      <c r="J3" s="377"/>
      <c r="K3" s="377"/>
      <c r="L3" s="377"/>
      <c r="M3" s="377"/>
      <c r="N3" s="377"/>
      <c r="O3" s="377"/>
      <c r="P3" s="442"/>
      <c r="Q3" s="944"/>
      <c r="R3" s="473"/>
    </row>
    <row r="4" spans="1:28" ht="18">
      <c r="A4" s="945">
        <f>A3+0.01</f>
        <v>1.01</v>
      </c>
      <c r="B4" s="253" t="s">
        <v>1854</v>
      </c>
      <c r="C4" s="238" t="s">
        <v>1864</v>
      </c>
      <c r="D4" s="26">
        <v>3000</v>
      </c>
      <c r="E4" s="27">
        <v>7200</v>
      </c>
      <c r="F4" s="27">
        <v>8100</v>
      </c>
      <c r="G4" s="27">
        <v>8800</v>
      </c>
      <c r="H4" s="27">
        <v>13000</v>
      </c>
      <c r="I4" s="27">
        <f t="shared" ref="I4:I9" si="0">H4</f>
        <v>13000</v>
      </c>
      <c r="J4" s="27">
        <v>13300</v>
      </c>
      <c r="K4" s="27">
        <f>J4</f>
        <v>13300</v>
      </c>
      <c r="L4" s="27">
        <f>K4*1.1</f>
        <v>14630.000000000002</v>
      </c>
      <c r="M4" s="27">
        <f>L4</f>
        <v>14630.000000000002</v>
      </c>
      <c r="N4" s="27">
        <f>M4</f>
        <v>14630.000000000002</v>
      </c>
      <c r="O4" s="27">
        <v>14630.000000000002</v>
      </c>
      <c r="P4" s="28">
        <f>O4</f>
        <v>14630.000000000002</v>
      </c>
      <c r="Q4" s="946"/>
      <c r="R4" s="474"/>
      <c r="X4" s="155"/>
    </row>
    <row r="5" spans="1:28" ht="18">
      <c r="A5" s="945">
        <f t="shared" ref="A5:A9" si="1">A4+0.01</f>
        <v>1.02</v>
      </c>
      <c r="B5" s="253" t="s">
        <v>1855</v>
      </c>
      <c r="C5" s="238" t="s">
        <v>1864</v>
      </c>
      <c r="D5" s="26">
        <v>2400</v>
      </c>
      <c r="E5" s="27">
        <v>6500</v>
      </c>
      <c r="F5" s="27">
        <v>7500</v>
      </c>
      <c r="G5" s="27">
        <v>7700</v>
      </c>
      <c r="H5" s="27">
        <v>9500</v>
      </c>
      <c r="I5" s="27">
        <f t="shared" si="0"/>
        <v>9500</v>
      </c>
      <c r="J5" s="27">
        <v>9800</v>
      </c>
      <c r="K5" s="27">
        <f t="shared" ref="K5:K73" si="2">J5</f>
        <v>9800</v>
      </c>
      <c r="L5" s="27">
        <f t="shared" ref="L5:L73" si="3">K5*1.1</f>
        <v>10780</v>
      </c>
      <c r="M5" s="27">
        <f t="shared" ref="M5:M12" si="4">L5</f>
        <v>10780</v>
      </c>
      <c r="N5" s="27">
        <f t="shared" ref="N5:N9" si="5">M5</f>
        <v>10780</v>
      </c>
      <c r="O5" s="27">
        <v>10780</v>
      </c>
      <c r="P5" s="28">
        <f t="shared" ref="P5:P9" si="6">O5</f>
        <v>10780</v>
      </c>
      <c r="Q5" s="29"/>
      <c r="R5" s="475"/>
      <c r="X5" s="155"/>
    </row>
    <row r="6" spans="1:28" ht="18">
      <c r="A6" s="945">
        <f t="shared" si="1"/>
        <v>1.03</v>
      </c>
      <c r="B6" s="253" t="s">
        <v>1856</v>
      </c>
      <c r="C6" s="238" t="s">
        <v>1864</v>
      </c>
      <c r="D6" s="26"/>
      <c r="E6" s="27"/>
      <c r="F6" s="27"/>
      <c r="G6" s="27"/>
      <c r="H6" s="27">
        <v>12900</v>
      </c>
      <c r="I6" s="27">
        <f t="shared" si="0"/>
        <v>12900</v>
      </c>
      <c r="J6" s="27">
        <v>13000</v>
      </c>
      <c r="K6" s="27">
        <f t="shared" si="2"/>
        <v>13000</v>
      </c>
      <c r="L6" s="27">
        <f t="shared" si="3"/>
        <v>14300.000000000002</v>
      </c>
      <c r="M6" s="27">
        <f t="shared" si="4"/>
        <v>14300.000000000002</v>
      </c>
      <c r="N6" s="27">
        <f>M6</f>
        <v>14300.000000000002</v>
      </c>
      <c r="O6" s="27">
        <v>14300.000000000002</v>
      </c>
      <c r="P6" s="28">
        <f t="shared" si="6"/>
        <v>14300.000000000002</v>
      </c>
      <c r="Q6" s="29"/>
      <c r="R6" s="475"/>
      <c r="V6" s="453" t="s">
        <v>1982</v>
      </c>
      <c r="W6" s="453" t="s">
        <v>2105</v>
      </c>
      <c r="X6" s="155"/>
    </row>
    <row r="7" spans="1:28" ht="18">
      <c r="A7" s="945">
        <f t="shared" si="1"/>
        <v>1.04</v>
      </c>
      <c r="B7" s="253" t="s">
        <v>1857</v>
      </c>
      <c r="C7" s="238" t="s">
        <v>1864</v>
      </c>
      <c r="D7" s="26"/>
      <c r="E7" s="27"/>
      <c r="F7" s="27"/>
      <c r="G7" s="27"/>
      <c r="H7" s="27">
        <v>9500</v>
      </c>
      <c r="I7" s="27">
        <f t="shared" si="0"/>
        <v>9500</v>
      </c>
      <c r="J7" s="27">
        <v>9700</v>
      </c>
      <c r="K7" s="27">
        <f t="shared" si="2"/>
        <v>9700</v>
      </c>
      <c r="L7" s="27">
        <f t="shared" si="3"/>
        <v>10670</v>
      </c>
      <c r="M7" s="27">
        <f t="shared" si="4"/>
        <v>10670</v>
      </c>
      <c r="N7" s="27">
        <f t="shared" si="5"/>
        <v>10670</v>
      </c>
      <c r="O7" s="27">
        <v>10670</v>
      </c>
      <c r="P7" s="28">
        <f t="shared" si="6"/>
        <v>10670</v>
      </c>
      <c r="Q7" s="29"/>
      <c r="R7" s="475"/>
      <c r="V7" s="453">
        <v>1</v>
      </c>
      <c r="W7" s="453">
        <v>35.314666699999997</v>
      </c>
      <c r="X7" s="155"/>
    </row>
    <row r="8" spans="1:28" ht="18">
      <c r="A8" s="945">
        <f t="shared" si="1"/>
        <v>1.05</v>
      </c>
      <c r="B8" s="253" t="s">
        <v>1859</v>
      </c>
      <c r="C8" s="238" t="s">
        <v>1864</v>
      </c>
      <c r="D8" s="26"/>
      <c r="E8" s="27"/>
      <c r="F8" s="27"/>
      <c r="G8" s="27"/>
      <c r="H8" s="27">
        <v>8700</v>
      </c>
      <c r="I8" s="27">
        <f t="shared" si="0"/>
        <v>8700</v>
      </c>
      <c r="J8" s="27">
        <v>9000</v>
      </c>
      <c r="K8" s="27">
        <f t="shared" si="2"/>
        <v>9000</v>
      </c>
      <c r="L8" s="27">
        <f t="shared" si="3"/>
        <v>9900</v>
      </c>
      <c r="M8" s="27">
        <f t="shared" si="4"/>
        <v>9900</v>
      </c>
      <c r="N8" s="27">
        <f t="shared" si="5"/>
        <v>9900</v>
      </c>
      <c r="O8" s="27">
        <v>9900</v>
      </c>
      <c r="P8" s="28">
        <f t="shared" si="6"/>
        <v>9900</v>
      </c>
      <c r="Q8" s="29"/>
      <c r="R8" s="475"/>
      <c r="X8" s="155"/>
    </row>
    <row r="9" spans="1:28" ht="18">
      <c r="A9" s="945">
        <f t="shared" si="1"/>
        <v>1.06</v>
      </c>
      <c r="B9" s="253" t="s">
        <v>1858</v>
      </c>
      <c r="C9" s="238" t="s">
        <v>1784</v>
      </c>
      <c r="D9" s="26">
        <v>525</v>
      </c>
      <c r="E9" s="27">
        <v>1200</v>
      </c>
      <c r="F9" s="27">
        <v>1300</v>
      </c>
      <c r="G9" s="27">
        <v>1400</v>
      </c>
      <c r="H9" s="43">
        <v>2200</v>
      </c>
      <c r="I9" s="27">
        <f t="shared" si="0"/>
        <v>2200</v>
      </c>
      <c r="J9" s="27">
        <v>2500</v>
      </c>
      <c r="K9" s="27">
        <f t="shared" si="2"/>
        <v>2500</v>
      </c>
      <c r="L9" s="27">
        <f t="shared" si="3"/>
        <v>2750</v>
      </c>
      <c r="M9" s="27">
        <f t="shared" si="4"/>
        <v>2750</v>
      </c>
      <c r="N9" s="27">
        <f t="shared" si="5"/>
        <v>2750</v>
      </c>
      <c r="O9" s="27">
        <v>2750</v>
      </c>
      <c r="P9" s="28">
        <f t="shared" si="6"/>
        <v>2750</v>
      </c>
      <c r="Q9" s="29"/>
      <c r="R9" s="475"/>
      <c r="X9" s="155"/>
    </row>
    <row r="10" spans="1:28" ht="54">
      <c r="A10" s="888">
        <v>2</v>
      </c>
      <c r="B10" s="1390" t="s">
        <v>1866</v>
      </c>
      <c r="C10" s="466"/>
      <c r="D10" s="461"/>
      <c r="E10" s="462"/>
      <c r="F10" s="462"/>
      <c r="G10" s="462"/>
      <c r="H10" s="462"/>
      <c r="I10" s="462"/>
      <c r="J10" s="390"/>
      <c r="K10" s="390"/>
      <c r="L10" s="390"/>
      <c r="M10" s="390"/>
      <c r="N10" s="390"/>
      <c r="O10" s="390"/>
      <c r="P10" s="390" t="s">
        <v>2547</v>
      </c>
      <c r="Q10" s="509"/>
      <c r="R10" s="1320" t="s">
        <v>2108</v>
      </c>
      <c r="S10" s="1319" t="s">
        <v>2640</v>
      </c>
      <c r="T10" s="1319" t="s">
        <v>2552</v>
      </c>
      <c r="U10" s="1319" t="s">
        <v>2555</v>
      </c>
      <c r="V10" s="1319" t="s">
        <v>2553</v>
      </c>
      <c r="W10" s="1319" t="s">
        <v>2559</v>
      </c>
      <c r="X10" s="1321" t="s">
        <v>2107</v>
      </c>
      <c r="Y10" s="1321" t="s">
        <v>1755</v>
      </c>
    </row>
    <row r="11" spans="1:28" ht="19.5">
      <c r="A11" s="945">
        <f>A10+0.01</f>
        <v>2.0099999999999998</v>
      </c>
      <c r="B11" s="357" t="s">
        <v>1867</v>
      </c>
      <c r="C11" s="238" t="s">
        <v>1784</v>
      </c>
      <c r="D11" s="26">
        <v>500</v>
      </c>
      <c r="E11" s="27">
        <v>800</v>
      </c>
      <c r="F11" s="27">
        <v>800</v>
      </c>
      <c r="G11" s="27">
        <v>800</v>
      </c>
      <c r="H11" s="27">
        <v>2000</v>
      </c>
      <c r="I11" s="27">
        <v>2050</v>
      </c>
      <c r="J11" s="27">
        <f>I11</f>
        <v>2050</v>
      </c>
      <c r="K11" s="27">
        <f t="shared" si="2"/>
        <v>2050</v>
      </c>
      <c r="L11" s="27">
        <f t="shared" si="3"/>
        <v>2255</v>
      </c>
      <c r="M11" s="27">
        <f t="shared" si="4"/>
        <v>2255</v>
      </c>
      <c r="N11" s="43">
        <f>M11*1.05</f>
        <v>2367.75</v>
      </c>
      <c r="O11" s="43">
        <v>2486.1375000000003</v>
      </c>
      <c r="P11" s="43">
        <f>O11</f>
        <v>2486.1375000000003</v>
      </c>
      <c r="Q11" s="821"/>
      <c r="R11" s="941">
        <f>O11/$W$7</f>
        <v>70.399574236955786</v>
      </c>
      <c r="S11" s="36">
        <f t="shared" ref="R11:S13" si="7">P11/$W$7</f>
        <v>70.399574236955786</v>
      </c>
      <c r="T11" s="36"/>
      <c r="U11" s="36"/>
      <c r="V11" s="36"/>
      <c r="W11" s="36">
        <f>2100/W7</f>
        <v>59.465377879384043</v>
      </c>
      <c r="X11" s="36"/>
      <c r="Y11" s="36">
        <v>46</v>
      </c>
      <c r="AA11" s="471">
        <f>L12/L11</f>
        <v>1.1463414634146341</v>
      </c>
      <c r="AB11" s="471">
        <f>N12/N11</f>
        <v>1.1463414634146341</v>
      </c>
    </row>
    <row r="12" spans="1:28" ht="18">
      <c r="A12" s="945">
        <f t="shared" ref="A12:A13" si="8">A11+0.01</f>
        <v>2.0199999999999996</v>
      </c>
      <c r="B12" s="357" t="s">
        <v>1868</v>
      </c>
      <c r="C12" s="238" t="s">
        <v>1784</v>
      </c>
      <c r="D12" s="26">
        <v>550</v>
      </c>
      <c r="E12" s="27">
        <v>850</v>
      </c>
      <c r="F12" s="27">
        <v>875</v>
      </c>
      <c r="G12" s="27">
        <v>875</v>
      </c>
      <c r="H12" s="43">
        <v>2300</v>
      </c>
      <c r="I12" s="43">
        <v>2350</v>
      </c>
      <c r="J12" s="27">
        <f>I12</f>
        <v>2350</v>
      </c>
      <c r="K12" s="27">
        <f t="shared" si="2"/>
        <v>2350</v>
      </c>
      <c r="L12" s="27">
        <f t="shared" si="3"/>
        <v>2585</v>
      </c>
      <c r="M12" s="27">
        <f t="shared" si="4"/>
        <v>2585</v>
      </c>
      <c r="N12" s="43">
        <f>M12*1.05</f>
        <v>2714.25</v>
      </c>
      <c r="O12" s="43">
        <v>2714.25</v>
      </c>
      <c r="P12" s="43">
        <f t="shared" ref="P12" si="9">O12</f>
        <v>2714.25</v>
      </c>
      <c r="Q12" s="194"/>
      <c r="R12" s="941">
        <f t="shared" si="7"/>
        <v>76.85900090910387</v>
      </c>
      <c r="S12" s="36">
        <f t="shared" si="7"/>
        <v>76.85900090910387</v>
      </c>
      <c r="T12" s="36"/>
      <c r="U12" s="36"/>
      <c r="V12" s="36"/>
      <c r="W12" s="36">
        <f>2325/W7</f>
        <v>65.836668366460898</v>
      </c>
      <c r="X12" s="36"/>
      <c r="Y12" s="36"/>
    </row>
    <row r="13" spans="1:28" ht="18">
      <c r="A13" s="945">
        <f t="shared" si="8"/>
        <v>2.0299999999999994</v>
      </c>
      <c r="B13" s="24" t="s">
        <v>59</v>
      </c>
      <c r="C13" s="238" t="s">
        <v>1784</v>
      </c>
      <c r="D13" s="26">
        <v>400</v>
      </c>
      <c r="E13" s="27">
        <v>825</v>
      </c>
      <c r="F13" s="27">
        <v>825</v>
      </c>
      <c r="G13" s="27">
        <v>860</v>
      </c>
      <c r="H13" s="43">
        <v>1500</v>
      </c>
      <c r="I13" s="43">
        <f>H13</f>
        <v>1500</v>
      </c>
      <c r="J13" s="27">
        <f>I13</f>
        <v>1500</v>
      </c>
      <c r="K13" s="27">
        <f>J13</f>
        <v>1500</v>
      </c>
      <c r="L13" s="27">
        <f>K13*1.1</f>
        <v>1650.0000000000002</v>
      </c>
      <c r="M13" s="27">
        <v>1730</v>
      </c>
      <c r="N13" s="43">
        <f>M13*1.05</f>
        <v>1816.5</v>
      </c>
      <c r="O13" s="43">
        <v>1816.5</v>
      </c>
      <c r="P13" s="43">
        <f>O13</f>
        <v>1816.5</v>
      </c>
      <c r="Q13" s="194"/>
      <c r="R13" s="941">
        <f t="shared" si="7"/>
        <v>51.437551865667196</v>
      </c>
      <c r="S13" s="36">
        <f t="shared" si="7"/>
        <v>51.437551865667196</v>
      </c>
      <c r="T13" s="36">
        <v>42</v>
      </c>
      <c r="U13" s="36">
        <v>40.68</v>
      </c>
      <c r="V13" s="36">
        <v>45</v>
      </c>
      <c r="W13" s="36">
        <f>1700/W7</f>
        <v>48.138639235691841</v>
      </c>
      <c r="X13" s="36"/>
      <c r="Y13" s="36">
        <v>48</v>
      </c>
    </row>
    <row r="14" spans="1:28" ht="19.5">
      <c r="A14" s="439">
        <v>3</v>
      </c>
      <c r="B14" s="380" t="s">
        <v>2556</v>
      </c>
      <c r="C14" s="371" t="s">
        <v>1784</v>
      </c>
      <c r="D14" s="378"/>
      <c r="E14" s="377"/>
      <c r="F14" s="377"/>
      <c r="G14" s="377"/>
      <c r="H14" s="373"/>
      <c r="I14" s="373"/>
      <c r="J14" s="373"/>
      <c r="K14" s="373"/>
      <c r="L14" s="373"/>
      <c r="M14" s="373"/>
      <c r="N14" s="373"/>
      <c r="O14" s="373"/>
      <c r="P14" s="429"/>
      <c r="Q14" s="431"/>
      <c r="R14" s="941"/>
      <c r="S14" s="36"/>
      <c r="T14" s="36"/>
      <c r="U14" s="36"/>
      <c r="V14" s="36"/>
      <c r="W14" s="36"/>
      <c r="X14" s="36"/>
      <c r="Y14" s="36"/>
    </row>
    <row r="15" spans="1:28" ht="18">
      <c r="A15" s="945">
        <f>A14+0.01</f>
        <v>3.01</v>
      </c>
      <c r="B15" s="24" t="s">
        <v>2866</v>
      </c>
      <c r="C15" s="238" t="s">
        <v>1784</v>
      </c>
      <c r="D15" s="26">
        <v>320</v>
      </c>
      <c r="E15" s="27">
        <v>575</v>
      </c>
      <c r="F15" s="27">
        <v>550</v>
      </c>
      <c r="G15" s="27">
        <v>575</v>
      </c>
      <c r="H15" s="43">
        <v>1275</v>
      </c>
      <c r="I15" s="43">
        <v>1275</v>
      </c>
      <c r="J15" s="27">
        <v>1500</v>
      </c>
      <c r="K15" s="27">
        <f t="shared" si="2"/>
        <v>1500</v>
      </c>
      <c r="L15" s="27">
        <f t="shared" si="3"/>
        <v>1650.0000000000002</v>
      </c>
      <c r="M15" s="27">
        <v>1730</v>
      </c>
      <c r="N15" s="43">
        <f>M15*1.05</f>
        <v>1816.5</v>
      </c>
      <c r="O15" s="43">
        <v>1650</v>
      </c>
      <c r="P15" s="43">
        <f t="shared" ref="P15:P16" si="10">O15</f>
        <v>1650</v>
      </c>
      <c r="Q15" s="821"/>
      <c r="R15" s="941">
        <f>O15/$W$7</f>
        <v>46.722796905230318</v>
      </c>
      <c r="S15" s="36">
        <f t="shared" ref="S15:S29" si="11">P15/$W$7</f>
        <v>46.722796905230318</v>
      </c>
      <c r="T15" s="36">
        <v>32</v>
      </c>
      <c r="U15" s="36">
        <v>30</v>
      </c>
      <c r="V15" s="36">
        <v>40</v>
      </c>
      <c r="W15" s="36">
        <f>1350/35.32</f>
        <v>38.221970554926386</v>
      </c>
      <c r="X15" s="36"/>
      <c r="Y15" s="36"/>
    </row>
    <row r="16" spans="1:28" ht="18">
      <c r="A16" s="945">
        <f>A15+0.01</f>
        <v>3.0199999999999996</v>
      </c>
      <c r="B16" s="24" t="s">
        <v>58</v>
      </c>
      <c r="C16" s="238" t="s">
        <v>1784</v>
      </c>
      <c r="D16" s="26">
        <v>490</v>
      </c>
      <c r="E16" s="27">
        <v>700</v>
      </c>
      <c r="F16" s="27">
        <v>700</v>
      </c>
      <c r="G16" s="27">
        <v>725</v>
      </c>
      <c r="H16" s="43">
        <v>1475</v>
      </c>
      <c r="I16" s="43">
        <v>1600</v>
      </c>
      <c r="J16" s="27">
        <f t="shared" ref="J16:J52" si="12">I16</f>
        <v>1600</v>
      </c>
      <c r="K16" s="27">
        <f t="shared" si="2"/>
        <v>1600</v>
      </c>
      <c r="L16" s="27">
        <f t="shared" si="3"/>
        <v>1760.0000000000002</v>
      </c>
      <c r="M16" s="27">
        <v>1850</v>
      </c>
      <c r="N16" s="43">
        <f>M16*1.05</f>
        <v>1942.5</v>
      </c>
      <c r="O16" s="43">
        <v>1942.5</v>
      </c>
      <c r="P16" s="43">
        <f t="shared" si="10"/>
        <v>1942.5</v>
      </c>
      <c r="Q16" s="821"/>
      <c r="R16" s="941">
        <f>O16/$W$7</f>
        <v>55.005474538430235</v>
      </c>
      <c r="S16" s="36">
        <f t="shared" si="11"/>
        <v>55.005474538430235</v>
      </c>
      <c r="T16" s="36"/>
      <c r="U16" s="36">
        <v>31.64</v>
      </c>
      <c r="V16" s="36">
        <v>40</v>
      </c>
      <c r="W16" s="36">
        <f>1475/35.32</f>
        <v>41.761041902604759</v>
      </c>
      <c r="X16" s="36"/>
      <c r="Y16" s="36">
        <v>64</v>
      </c>
    </row>
    <row r="17" spans="1:26" ht="19.5">
      <c r="A17" s="439">
        <v>4</v>
      </c>
      <c r="B17" s="380" t="s">
        <v>2557</v>
      </c>
      <c r="C17" s="330"/>
      <c r="D17" s="384"/>
      <c r="E17" s="373"/>
      <c r="F17" s="373"/>
      <c r="G17" s="373"/>
      <c r="H17" s="373"/>
      <c r="I17" s="373"/>
      <c r="J17" s="373"/>
      <c r="K17" s="373"/>
      <c r="L17" s="373"/>
      <c r="M17" s="373"/>
      <c r="N17" s="373"/>
      <c r="O17" s="373"/>
      <c r="P17" s="429"/>
      <c r="Q17" s="944"/>
      <c r="R17" s="941"/>
      <c r="S17" s="36"/>
      <c r="T17" s="36"/>
      <c r="U17" s="36"/>
      <c r="V17" s="36"/>
      <c r="W17" s="36"/>
      <c r="X17" s="36"/>
      <c r="Y17" s="36"/>
    </row>
    <row r="18" spans="1:26" ht="18">
      <c r="A18" s="945">
        <f>A17+0.01</f>
        <v>4.01</v>
      </c>
      <c r="B18" s="24" t="s">
        <v>1393</v>
      </c>
      <c r="C18" s="238" t="s">
        <v>1784</v>
      </c>
      <c r="D18" s="26">
        <v>700</v>
      </c>
      <c r="E18" s="27">
        <v>850</v>
      </c>
      <c r="F18" s="27">
        <v>850</v>
      </c>
      <c r="G18" s="27">
        <v>886</v>
      </c>
      <c r="H18" s="43">
        <v>1850</v>
      </c>
      <c r="I18" s="43">
        <f>H18</f>
        <v>1850</v>
      </c>
      <c r="J18" s="27">
        <f t="shared" si="12"/>
        <v>1850</v>
      </c>
      <c r="K18" s="27">
        <f t="shared" si="2"/>
        <v>1850</v>
      </c>
      <c r="L18" s="27">
        <f>K18*1.1</f>
        <v>2035.0000000000002</v>
      </c>
      <c r="M18" s="27">
        <v>2140</v>
      </c>
      <c r="N18" s="43">
        <f>M18*1.05</f>
        <v>2247</v>
      </c>
      <c r="O18" s="43">
        <v>2247</v>
      </c>
      <c r="P18" s="43">
        <f t="shared" ref="P18" si="13">O18</f>
        <v>2247</v>
      </c>
      <c r="Q18" s="821"/>
      <c r="R18" s="941">
        <f t="shared" ref="R18:R23" si="14">O18/$W$7</f>
        <v>63.627954330940923</v>
      </c>
      <c r="S18" s="36">
        <f t="shared" si="11"/>
        <v>63.627954330940923</v>
      </c>
      <c r="T18" s="36">
        <v>40</v>
      </c>
      <c r="U18" s="36">
        <v>40.68</v>
      </c>
      <c r="V18" s="36">
        <v>50</v>
      </c>
      <c r="W18" s="36">
        <f>2100/35.32</f>
        <v>59.456398640996603</v>
      </c>
      <c r="X18" s="36"/>
      <c r="Y18" s="36">
        <v>64</v>
      </c>
    </row>
    <row r="19" spans="1:26" ht="18">
      <c r="A19" s="945">
        <f t="shared" ref="A19:A23" si="15">A18+0.01</f>
        <v>4.0199999999999996</v>
      </c>
      <c r="B19" s="24" t="s">
        <v>1394</v>
      </c>
      <c r="C19" s="238" t="s">
        <v>1784</v>
      </c>
      <c r="D19" s="26">
        <v>700</v>
      </c>
      <c r="E19" s="27">
        <v>900</v>
      </c>
      <c r="F19" s="27">
        <v>900</v>
      </c>
      <c r="G19" s="27">
        <v>939</v>
      </c>
      <c r="H19" s="43">
        <v>1875</v>
      </c>
      <c r="I19" s="43">
        <f>H19</f>
        <v>1875</v>
      </c>
      <c r="J19" s="27">
        <f t="shared" si="12"/>
        <v>1875</v>
      </c>
      <c r="K19" s="27">
        <f t="shared" si="2"/>
        <v>1875</v>
      </c>
      <c r="L19" s="27">
        <f t="shared" si="3"/>
        <v>2062.5</v>
      </c>
      <c r="M19" s="27">
        <v>2165</v>
      </c>
      <c r="N19" s="43">
        <f t="shared" ref="N19:N29" si="16">M19*1.05</f>
        <v>2273.25</v>
      </c>
      <c r="O19" s="43">
        <v>2050</v>
      </c>
      <c r="P19" s="43">
        <v>2115</v>
      </c>
      <c r="Q19" s="821"/>
      <c r="R19" s="941">
        <f t="shared" si="14"/>
        <v>58.049535548922513</v>
      </c>
      <c r="S19" s="36">
        <f t="shared" si="11"/>
        <v>59.890130578522495</v>
      </c>
      <c r="T19" s="36">
        <v>40</v>
      </c>
      <c r="U19" s="36">
        <v>40.68</v>
      </c>
      <c r="V19" s="36"/>
      <c r="W19" s="36">
        <f>W18</f>
        <v>59.456398640996603</v>
      </c>
      <c r="X19" s="36"/>
      <c r="Y19" s="36">
        <v>66</v>
      </c>
    </row>
    <row r="20" spans="1:26" ht="18">
      <c r="A20" s="945">
        <f t="shared" si="15"/>
        <v>4.0299999999999994</v>
      </c>
      <c r="B20" s="24" t="s">
        <v>1395</v>
      </c>
      <c r="C20" s="238" t="s">
        <v>1784</v>
      </c>
      <c r="D20" s="26">
        <v>600</v>
      </c>
      <c r="E20" s="27">
        <v>650</v>
      </c>
      <c r="F20" s="27">
        <v>650</v>
      </c>
      <c r="G20" s="27">
        <v>678</v>
      </c>
      <c r="H20" s="43">
        <v>1625</v>
      </c>
      <c r="I20" s="43">
        <f>H20</f>
        <v>1625</v>
      </c>
      <c r="J20" s="27">
        <f t="shared" si="12"/>
        <v>1625</v>
      </c>
      <c r="K20" s="27">
        <f t="shared" si="2"/>
        <v>1625</v>
      </c>
      <c r="L20" s="27">
        <f t="shared" si="3"/>
        <v>1787.5000000000002</v>
      </c>
      <c r="M20" s="27">
        <v>1875</v>
      </c>
      <c r="N20" s="43">
        <f t="shared" si="16"/>
        <v>1968.75</v>
      </c>
      <c r="O20" s="43">
        <v>1968.75</v>
      </c>
      <c r="P20" s="43">
        <v>2115</v>
      </c>
      <c r="Q20" s="821"/>
      <c r="R20" s="941">
        <f t="shared" si="14"/>
        <v>55.74879176192254</v>
      </c>
      <c r="S20" s="36">
        <f t="shared" si="11"/>
        <v>59.890130578522495</v>
      </c>
      <c r="T20" s="36">
        <v>40</v>
      </c>
      <c r="U20" s="36">
        <v>40.68</v>
      </c>
      <c r="V20" s="36">
        <v>45</v>
      </c>
      <c r="W20" s="36">
        <f>1800/35.32</f>
        <v>50.962627406568515</v>
      </c>
      <c r="X20" s="36"/>
      <c r="Y20" s="36">
        <v>62</v>
      </c>
    </row>
    <row r="21" spans="1:26" ht="18">
      <c r="A21" s="945">
        <f t="shared" si="15"/>
        <v>4.0399999999999991</v>
      </c>
      <c r="B21" s="24" t="s">
        <v>1396</v>
      </c>
      <c r="C21" s="238" t="s">
        <v>1784</v>
      </c>
      <c r="D21" s="26">
        <v>300</v>
      </c>
      <c r="E21" s="27">
        <v>675</v>
      </c>
      <c r="F21" s="27">
        <v>675</v>
      </c>
      <c r="G21" s="27">
        <v>704</v>
      </c>
      <c r="H21" s="43">
        <v>1350</v>
      </c>
      <c r="I21" s="43">
        <f>H21</f>
        <v>1350</v>
      </c>
      <c r="J21" s="27">
        <f t="shared" si="12"/>
        <v>1350</v>
      </c>
      <c r="K21" s="27">
        <f t="shared" si="2"/>
        <v>1350</v>
      </c>
      <c r="L21" s="27">
        <f t="shared" si="3"/>
        <v>1485.0000000000002</v>
      </c>
      <c r="M21" s="27">
        <v>1560</v>
      </c>
      <c r="N21" s="43">
        <f t="shared" si="16"/>
        <v>1638</v>
      </c>
      <c r="O21" s="43">
        <v>1638</v>
      </c>
      <c r="P21" s="43">
        <v>1800</v>
      </c>
      <c r="Q21" s="821"/>
      <c r="R21" s="941">
        <f t="shared" si="14"/>
        <v>46.382994745919554</v>
      </c>
      <c r="S21" s="36">
        <f t="shared" si="11"/>
        <v>50.970323896614893</v>
      </c>
      <c r="T21" s="36">
        <v>40</v>
      </c>
      <c r="U21" s="36">
        <v>40.68</v>
      </c>
      <c r="V21" s="36"/>
      <c r="W21" s="36">
        <f>1605/35.32</f>
        <v>45.441676104190257</v>
      </c>
      <c r="X21" s="36"/>
      <c r="Y21" s="36">
        <v>57</v>
      </c>
    </row>
    <row r="22" spans="1:26" ht="18">
      <c r="A22" s="945">
        <f t="shared" si="15"/>
        <v>4.0499999999999989</v>
      </c>
      <c r="B22" s="220" t="s">
        <v>1760</v>
      </c>
      <c r="C22" s="238" t="s">
        <v>1784</v>
      </c>
      <c r="D22" s="26"/>
      <c r="E22" s="27"/>
      <c r="F22" s="27"/>
      <c r="G22" s="27"/>
      <c r="H22" s="43"/>
      <c r="I22" s="43"/>
      <c r="J22" s="27"/>
      <c r="K22" s="27"/>
      <c r="L22" s="27"/>
      <c r="M22" s="27"/>
      <c r="N22" s="43">
        <v>2100</v>
      </c>
      <c r="O22" s="43">
        <v>1800</v>
      </c>
      <c r="P22" s="43">
        <v>1900</v>
      </c>
      <c r="Q22" s="1040"/>
      <c r="R22" s="941">
        <f t="shared" si="14"/>
        <v>50.970323896614893</v>
      </c>
      <c r="S22" s="36">
        <f t="shared" si="11"/>
        <v>53.802008557537938</v>
      </c>
      <c r="T22" s="36">
        <v>40</v>
      </c>
      <c r="U22" s="36">
        <v>45.2</v>
      </c>
      <c r="V22" s="36"/>
      <c r="W22" s="36"/>
      <c r="X22" s="36"/>
      <c r="Y22" s="36">
        <v>52</v>
      </c>
    </row>
    <row r="23" spans="1:26" ht="18">
      <c r="A23" s="945">
        <f t="shared" si="15"/>
        <v>4.0599999999999987</v>
      </c>
      <c r="B23" s="220" t="s">
        <v>2554</v>
      </c>
      <c r="C23" s="238" t="s">
        <v>1784</v>
      </c>
      <c r="D23" s="26"/>
      <c r="E23" s="27"/>
      <c r="F23" s="27"/>
      <c r="G23" s="27"/>
      <c r="H23" s="43"/>
      <c r="I23" s="43"/>
      <c r="J23" s="27"/>
      <c r="K23" s="27"/>
      <c r="L23" s="27"/>
      <c r="M23" s="27"/>
      <c r="N23" s="43"/>
      <c r="O23" s="43">
        <v>1850</v>
      </c>
      <c r="P23" s="43">
        <v>1950</v>
      </c>
      <c r="Q23" s="1041"/>
      <c r="R23" s="941">
        <f t="shared" si="14"/>
        <v>52.386166227076416</v>
      </c>
      <c r="S23" s="36">
        <f t="shared" si="11"/>
        <v>55.217850887999468</v>
      </c>
      <c r="T23" s="36">
        <v>40</v>
      </c>
      <c r="U23" s="36">
        <v>40.68</v>
      </c>
      <c r="V23" s="36">
        <v>50</v>
      </c>
      <c r="W23" s="36"/>
      <c r="X23" s="36"/>
      <c r="Y23" s="36">
        <v>61</v>
      </c>
    </row>
    <row r="24" spans="1:26" ht="15.75">
      <c r="A24" s="439">
        <v>5</v>
      </c>
      <c r="B24" s="385" t="s">
        <v>60</v>
      </c>
      <c r="C24" s="328"/>
      <c r="D24" s="378"/>
      <c r="E24" s="377"/>
      <c r="F24" s="377"/>
      <c r="G24" s="377"/>
      <c r="H24" s="373"/>
      <c r="I24" s="373"/>
      <c r="J24" s="373"/>
      <c r="K24" s="373"/>
      <c r="L24" s="373"/>
      <c r="M24" s="373"/>
      <c r="N24" s="373"/>
      <c r="O24" s="373"/>
      <c r="P24" s="429"/>
      <c r="Q24" s="944"/>
      <c r="R24" s="941"/>
      <c r="S24" s="36"/>
      <c r="T24" s="36"/>
      <c r="U24" s="36"/>
      <c r="V24" s="36"/>
      <c r="W24" s="36"/>
      <c r="X24" s="36"/>
      <c r="Y24" s="36"/>
    </row>
    <row r="25" spans="1:26" ht="18">
      <c r="A25" s="945">
        <f>A24+0.01</f>
        <v>5.01</v>
      </c>
      <c r="B25" s="24" t="s">
        <v>61</v>
      </c>
      <c r="C25" s="238" t="s">
        <v>1784</v>
      </c>
      <c r="D25" s="26">
        <v>330</v>
      </c>
      <c r="E25" s="27">
        <v>500</v>
      </c>
      <c r="F25" s="27">
        <v>520</v>
      </c>
      <c r="G25" s="27">
        <v>542</v>
      </c>
      <c r="H25" s="43">
        <v>1120</v>
      </c>
      <c r="I25" s="43">
        <f>H25</f>
        <v>1120</v>
      </c>
      <c r="J25" s="27">
        <f t="shared" si="12"/>
        <v>1120</v>
      </c>
      <c r="K25" s="27">
        <f t="shared" si="2"/>
        <v>1120</v>
      </c>
      <c r="L25" s="27">
        <f t="shared" si="3"/>
        <v>1232</v>
      </c>
      <c r="M25" s="27">
        <f>L25</f>
        <v>1232</v>
      </c>
      <c r="N25" s="43">
        <f>M25*1.05</f>
        <v>1293.6000000000001</v>
      </c>
      <c r="O25" s="43">
        <v>1293.6000000000001</v>
      </c>
      <c r="P25" s="43">
        <f>O25</f>
        <v>1293.6000000000001</v>
      </c>
      <c r="Q25" s="946"/>
      <c r="R25" s="941">
        <f>O25/$W$7</f>
        <v>36.630672773700574</v>
      </c>
      <c r="S25" s="36">
        <f t="shared" si="11"/>
        <v>36.630672773700574</v>
      </c>
      <c r="T25" s="36"/>
      <c r="U25" s="36">
        <v>36.659999999999997</v>
      </c>
      <c r="V25" s="36"/>
      <c r="W25" s="36">
        <f>1200/35.32</f>
        <v>33.975084937712346</v>
      </c>
      <c r="X25" s="36"/>
      <c r="Y25" s="36"/>
    </row>
    <row r="26" spans="1:26" ht="18">
      <c r="A26" s="945">
        <f t="shared" ref="A26:A29" si="17">A25+0.01</f>
        <v>5.0199999999999996</v>
      </c>
      <c r="B26" s="24" t="s">
        <v>62</v>
      </c>
      <c r="C26" s="238" t="s">
        <v>1784</v>
      </c>
      <c r="D26" s="26"/>
      <c r="E26" s="27">
        <v>825</v>
      </c>
      <c r="F26" s="27">
        <v>850</v>
      </c>
      <c r="G26" s="27">
        <v>886</v>
      </c>
      <c r="H26" s="43">
        <v>2200</v>
      </c>
      <c r="I26" s="43">
        <f>H26</f>
        <v>2200</v>
      </c>
      <c r="J26" s="27">
        <f t="shared" si="12"/>
        <v>2200</v>
      </c>
      <c r="K26" s="27">
        <f t="shared" si="2"/>
        <v>2200</v>
      </c>
      <c r="L26" s="27">
        <f t="shared" si="3"/>
        <v>2420</v>
      </c>
      <c r="M26" s="27">
        <f t="shared" ref="M26:M29" si="18">L26</f>
        <v>2420</v>
      </c>
      <c r="N26" s="43">
        <f t="shared" si="16"/>
        <v>2541</v>
      </c>
      <c r="O26" s="43">
        <v>2365</v>
      </c>
      <c r="P26" s="43">
        <f t="shared" ref="P26:P29" si="19">O26</f>
        <v>2365</v>
      </c>
      <c r="Q26" s="946"/>
      <c r="R26" s="941">
        <f>O26/$W$7</f>
        <v>66.969342230830122</v>
      </c>
      <c r="S26" s="36">
        <f t="shared" si="11"/>
        <v>66.969342230830122</v>
      </c>
      <c r="T26" s="36">
        <v>50</v>
      </c>
      <c r="U26" s="36">
        <v>56.5</v>
      </c>
      <c r="V26" s="36">
        <v>50</v>
      </c>
      <c r="W26" s="36">
        <f>2400/35.32</f>
        <v>67.950169875424692</v>
      </c>
      <c r="X26" s="36"/>
      <c r="Y26" s="36">
        <v>66</v>
      </c>
    </row>
    <row r="27" spans="1:26" ht="18">
      <c r="A27" s="945">
        <f t="shared" si="17"/>
        <v>5.0299999999999994</v>
      </c>
      <c r="B27" s="24" t="s">
        <v>63</v>
      </c>
      <c r="C27" s="238" t="s">
        <v>1784</v>
      </c>
      <c r="D27" s="26">
        <v>120</v>
      </c>
      <c r="E27" s="27">
        <v>155</v>
      </c>
      <c r="F27" s="27">
        <v>160</v>
      </c>
      <c r="G27" s="27">
        <v>166</v>
      </c>
      <c r="H27" s="43">
        <v>300</v>
      </c>
      <c r="I27" s="43">
        <f>H27</f>
        <v>300</v>
      </c>
      <c r="J27" s="27">
        <f t="shared" si="12"/>
        <v>300</v>
      </c>
      <c r="K27" s="27">
        <f t="shared" si="2"/>
        <v>300</v>
      </c>
      <c r="L27" s="27">
        <f t="shared" si="3"/>
        <v>330</v>
      </c>
      <c r="M27" s="27">
        <f t="shared" si="18"/>
        <v>330</v>
      </c>
      <c r="N27" s="43">
        <f t="shared" si="16"/>
        <v>346.5</v>
      </c>
      <c r="O27" s="43">
        <v>450</v>
      </c>
      <c r="P27" s="43">
        <f t="shared" si="19"/>
        <v>450</v>
      </c>
      <c r="Q27" s="821"/>
      <c r="R27" s="941">
        <f>O27/$W$7</f>
        <v>12.742580974153723</v>
      </c>
      <c r="S27" s="36">
        <f t="shared" si="11"/>
        <v>12.742580974153723</v>
      </c>
      <c r="T27" s="36"/>
      <c r="U27" s="36"/>
      <c r="V27" s="36"/>
      <c r="W27" s="36">
        <v>340</v>
      </c>
      <c r="X27" s="36"/>
      <c r="Y27" s="36">
        <v>9</v>
      </c>
    </row>
    <row r="28" spans="1:26" ht="18">
      <c r="A28" s="945">
        <f t="shared" si="17"/>
        <v>5.0399999999999991</v>
      </c>
      <c r="B28" s="24" t="s">
        <v>64</v>
      </c>
      <c r="C28" s="238" t="s">
        <v>1784</v>
      </c>
      <c r="D28" s="26">
        <v>140</v>
      </c>
      <c r="E28" s="27"/>
      <c r="F28" s="27">
        <v>165</v>
      </c>
      <c r="G28" s="27">
        <v>172</v>
      </c>
      <c r="H28" s="43">
        <v>310</v>
      </c>
      <c r="I28" s="43">
        <f>H28</f>
        <v>310</v>
      </c>
      <c r="J28" s="27">
        <f t="shared" si="12"/>
        <v>310</v>
      </c>
      <c r="K28" s="27">
        <f t="shared" si="2"/>
        <v>310</v>
      </c>
      <c r="L28" s="27">
        <f t="shared" si="3"/>
        <v>341</v>
      </c>
      <c r="M28" s="27">
        <f t="shared" si="18"/>
        <v>341</v>
      </c>
      <c r="N28" s="43">
        <f t="shared" si="16"/>
        <v>358.05</v>
      </c>
      <c r="O28" s="43">
        <v>450</v>
      </c>
      <c r="P28" s="43">
        <f t="shared" si="19"/>
        <v>450</v>
      </c>
      <c r="Q28" s="946"/>
      <c r="R28" s="941">
        <f>O28/$W$7</f>
        <v>12.742580974153723</v>
      </c>
      <c r="S28" s="36">
        <f t="shared" si="11"/>
        <v>12.742580974153723</v>
      </c>
      <c r="T28" s="36"/>
      <c r="U28" s="36"/>
      <c r="V28" s="36"/>
      <c r="W28" s="36">
        <v>395</v>
      </c>
      <c r="X28" s="36"/>
      <c r="Y28" s="36">
        <v>0</v>
      </c>
    </row>
    <row r="29" spans="1:26" ht="18">
      <c r="A29" s="945">
        <f t="shared" si="17"/>
        <v>5.0499999999999989</v>
      </c>
      <c r="B29" s="24" t="s">
        <v>65</v>
      </c>
      <c r="C29" s="238" t="s">
        <v>1784</v>
      </c>
      <c r="D29" s="26">
        <v>140</v>
      </c>
      <c r="E29" s="27"/>
      <c r="F29" s="27"/>
      <c r="G29" s="27"/>
      <c r="H29" s="43">
        <v>400</v>
      </c>
      <c r="I29" s="43">
        <f>H29</f>
        <v>400</v>
      </c>
      <c r="J29" s="27">
        <f t="shared" si="12"/>
        <v>400</v>
      </c>
      <c r="K29" s="27">
        <f t="shared" si="2"/>
        <v>400</v>
      </c>
      <c r="L29" s="27">
        <f t="shared" si="3"/>
        <v>440.00000000000006</v>
      </c>
      <c r="M29" s="27">
        <f t="shared" si="18"/>
        <v>440.00000000000006</v>
      </c>
      <c r="N29" s="43">
        <f t="shared" si="16"/>
        <v>462.00000000000006</v>
      </c>
      <c r="O29" s="43">
        <v>462.00000000000006</v>
      </c>
      <c r="P29" s="43">
        <f t="shared" si="19"/>
        <v>462.00000000000006</v>
      </c>
      <c r="Q29" s="946"/>
      <c r="R29" s="941">
        <f>O29/$W$7</f>
        <v>13.082383133464491</v>
      </c>
      <c r="S29" s="36">
        <f t="shared" si="11"/>
        <v>13.082383133464491</v>
      </c>
      <c r="T29" s="36"/>
      <c r="U29" s="36"/>
      <c r="V29" s="36"/>
      <c r="W29" s="36">
        <v>450</v>
      </c>
      <c r="X29" s="36"/>
      <c r="Y29" s="36"/>
    </row>
    <row r="30" spans="1:26" ht="18">
      <c r="A30" s="439">
        <v>6</v>
      </c>
      <c r="B30" s="385" t="s">
        <v>66</v>
      </c>
      <c r="C30" s="371"/>
      <c r="D30" s="378"/>
      <c r="E30" s="377"/>
      <c r="F30" s="377"/>
      <c r="G30" s="377"/>
      <c r="H30" s="377"/>
      <c r="I30" s="377"/>
      <c r="J30" s="373"/>
      <c r="K30" s="373"/>
      <c r="L30" s="373"/>
      <c r="M30" s="373"/>
      <c r="N30" s="373"/>
      <c r="O30" s="373"/>
      <c r="P30" s="429"/>
      <c r="Q30" s="431"/>
      <c r="R30" s="848" t="s">
        <v>2558</v>
      </c>
      <c r="S30" s="848" t="s">
        <v>2322</v>
      </c>
      <c r="T30" s="848" t="s">
        <v>2913</v>
      </c>
      <c r="U30" s="848"/>
      <c r="V30" s="848"/>
      <c r="W30" s="848">
        <v>700</v>
      </c>
      <c r="X30" s="848"/>
      <c r="Y30" s="848"/>
      <c r="Z30" s="848" t="s">
        <v>2322</v>
      </c>
    </row>
    <row r="31" spans="1:26" ht="18">
      <c r="A31" s="945">
        <f>A30+0.01</f>
        <v>6.01</v>
      </c>
      <c r="B31" s="67" t="s">
        <v>67</v>
      </c>
      <c r="C31" s="238" t="s">
        <v>1869</v>
      </c>
      <c r="D31" s="26">
        <v>315</v>
      </c>
      <c r="E31" s="27">
        <v>480</v>
      </c>
      <c r="F31" s="27">
        <v>470</v>
      </c>
      <c r="G31" s="27">
        <v>470</v>
      </c>
      <c r="H31" s="43">
        <v>725</v>
      </c>
      <c r="I31" s="43">
        <f>H31</f>
        <v>725</v>
      </c>
      <c r="J31" s="27">
        <f t="shared" si="12"/>
        <v>725</v>
      </c>
      <c r="K31" s="27">
        <f t="shared" si="2"/>
        <v>725</v>
      </c>
      <c r="L31" s="27">
        <f>K31</f>
        <v>725</v>
      </c>
      <c r="M31" s="27">
        <f>L31-10</f>
        <v>715</v>
      </c>
      <c r="N31" s="43">
        <f>M31-100</f>
        <v>615</v>
      </c>
      <c r="O31" s="43">
        <v>630</v>
      </c>
      <c r="P31" s="44">
        <f>O31</f>
        <v>630</v>
      </c>
      <c r="Q31" s="821"/>
      <c r="R31" s="475">
        <v>650</v>
      </c>
      <c r="S31" s="214">
        <v>630</v>
      </c>
      <c r="T31" s="214">
        <v>590</v>
      </c>
      <c r="U31" s="214"/>
      <c r="V31" s="214"/>
      <c r="W31" s="214">
        <v>600</v>
      </c>
      <c r="X31" s="1012"/>
      <c r="Z31" s="13">
        <v>630</v>
      </c>
    </row>
    <row r="32" spans="1:26" ht="18">
      <c r="A32" s="945">
        <f t="shared" ref="A32:A33" si="20">A31+0.01</f>
        <v>6.02</v>
      </c>
      <c r="B32" s="67" t="s">
        <v>69</v>
      </c>
      <c r="C32" s="238" t="s">
        <v>1869</v>
      </c>
      <c r="D32" s="26">
        <v>315</v>
      </c>
      <c r="E32" s="27">
        <v>480</v>
      </c>
      <c r="F32" s="27">
        <v>470</v>
      </c>
      <c r="G32" s="27">
        <v>470</v>
      </c>
      <c r="H32" s="43">
        <v>620</v>
      </c>
      <c r="I32" s="43">
        <f>H32</f>
        <v>620</v>
      </c>
      <c r="J32" s="27">
        <f t="shared" si="12"/>
        <v>620</v>
      </c>
      <c r="K32" s="27">
        <f t="shared" si="2"/>
        <v>620</v>
      </c>
      <c r="L32" s="27">
        <f t="shared" ref="L32:L33" si="21">K32</f>
        <v>620</v>
      </c>
      <c r="M32" s="27">
        <f t="shared" ref="M32:M33" si="22">L32-10</f>
        <v>610</v>
      </c>
      <c r="N32" s="43">
        <f>M32-95</f>
        <v>515</v>
      </c>
      <c r="O32" s="43">
        <v>528</v>
      </c>
      <c r="P32" s="44">
        <v>540</v>
      </c>
      <c r="Q32" s="821"/>
      <c r="R32" s="475">
        <v>550</v>
      </c>
      <c r="S32" s="214">
        <v>540</v>
      </c>
      <c r="T32" s="214">
        <v>520</v>
      </c>
      <c r="U32" s="214"/>
      <c r="V32" s="214"/>
      <c r="W32" s="214">
        <v>865</v>
      </c>
      <c r="X32" s="1012"/>
      <c r="Z32" s="13">
        <v>540</v>
      </c>
    </row>
    <row r="33" spans="1:26" ht="19.5">
      <c r="A33" s="945">
        <f t="shared" si="20"/>
        <v>6.0299999999999994</v>
      </c>
      <c r="B33" s="67" t="s">
        <v>70</v>
      </c>
      <c r="C33" s="238" t="s">
        <v>1869</v>
      </c>
      <c r="D33" s="26">
        <v>800</v>
      </c>
      <c r="E33" s="27">
        <v>950</v>
      </c>
      <c r="F33" s="27">
        <v>950</v>
      </c>
      <c r="G33" s="27">
        <v>900</v>
      </c>
      <c r="H33" s="43">
        <v>950</v>
      </c>
      <c r="I33" s="43">
        <v>975</v>
      </c>
      <c r="J33" s="27">
        <f t="shared" si="12"/>
        <v>975</v>
      </c>
      <c r="K33" s="27">
        <f t="shared" si="2"/>
        <v>975</v>
      </c>
      <c r="L33" s="27">
        <f t="shared" si="21"/>
        <v>975</v>
      </c>
      <c r="M33" s="27">
        <f t="shared" si="22"/>
        <v>965</v>
      </c>
      <c r="N33" s="43">
        <f>M33</f>
        <v>965</v>
      </c>
      <c r="O33" s="43">
        <v>965</v>
      </c>
      <c r="P33" s="44">
        <v>965</v>
      </c>
      <c r="Q33" s="821"/>
      <c r="R33" s="475"/>
      <c r="S33" s="214">
        <v>931</v>
      </c>
      <c r="T33" s="209"/>
      <c r="U33" s="209"/>
      <c r="V33" s="209"/>
      <c r="W33" s="209"/>
      <c r="X33" s="155"/>
      <c r="Z33" s="13">
        <v>931</v>
      </c>
    </row>
    <row r="34" spans="1:26" ht="18">
      <c r="A34" s="439">
        <v>7</v>
      </c>
      <c r="B34" s="329" t="s">
        <v>71</v>
      </c>
      <c r="C34" s="371"/>
      <c r="D34" s="332"/>
      <c r="E34" s="332"/>
      <c r="F34" s="332"/>
      <c r="G34" s="332"/>
      <c r="H34" s="373"/>
      <c r="I34" s="373"/>
      <c r="J34" s="373"/>
      <c r="K34" s="373"/>
      <c r="L34" s="373"/>
      <c r="M34" s="373"/>
      <c r="N34" s="373"/>
      <c r="O34" s="373"/>
      <c r="P34" s="429"/>
      <c r="Q34" s="431"/>
      <c r="R34" s="476"/>
      <c r="X34" s="155"/>
    </row>
    <row r="35" spans="1:26" ht="18">
      <c r="A35" s="945">
        <f>A34+0.01</f>
        <v>7.01</v>
      </c>
      <c r="B35" s="34" t="s">
        <v>71</v>
      </c>
      <c r="C35" s="238" t="s">
        <v>1770</v>
      </c>
      <c r="D35" s="26"/>
      <c r="E35" s="27"/>
      <c r="F35" s="27"/>
      <c r="G35" s="27"/>
      <c r="H35" s="27">
        <v>340</v>
      </c>
      <c r="I35" s="27">
        <f t="shared" ref="I35:I41" si="23">H35</f>
        <v>340</v>
      </c>
      <c r="J35" s="27">
        <f t="shared" si="12"/>
        <v>340</v>
      </c>
      <c r="K35" s="27">
        <f t="shared" si="2"/>
        <v>340</v>
      </c>
      <c r="L35" s="27">
        <f>K35*1.1</f>
        <v>374.00000000000006</v>
      </c>
      <c r="M35" s="27">
        <f>L35</f>
        <v>374.00000000000006</v>
      </c>
      <c r="N35" s="43">
        <f>M35</f>
        <v>374.00000000000006</v>
      </c>
      <c r="O35" s="43">
        <v>374.00000000000006</v>
      </c>
      <c r="P35" s="44">
        <f>O35</f>
        <v>374.00000000000006</v>
      </c>
      <c r="Q35" s="29"/>
      <c r="R35" s="475"/>
      <c r="X35" s="155"/>
    </row>
    <row r="36" spans="1:26" ht="18">
      <c r="A36" s="945">
        <f t="shared" ref="A36:A47" si="24">A35+0.01</f>
        <v>7.02</v>
      </c>
      <c r="B36" s="24" t="s">
        <v>72</v>
      </c>
      <c r="C36" s="238" t="s">
        <v>1786</v>
      </c>
      <c r="D36" s="26"/>
      <c r="E36" s="27"/>
      <c r="F36" s="27"/>
      <c r="G36" s="27"/>
      <c r="H36" s="27">
        <v>355</v>
      </c>
      <c r="I36" s="27">
        <f t="shared" si="23"/>
        <v>355</v>
      </c>
      <c r="J36" s="27">
        <f t="shared" si="12"/>
        <v>355</v>
      </c>
      <c r="K36" s="27">
        <f t="shared" si="2"/>
        <v>355</v>
      </c>
      <c r="L36" s="27">
        <f t="shared" si="3"/>
        <v>390.50000000000006</v>
      </c>
      <c r="M36" s="27">
        <f t="shared" ref="M36:M106" si="25">L36</f>
        <v>390.50000000000006</v>
      </c>
      <c r="N36" s="43">
        <f t="shared" ref="N36:N41" si="26">M36</f>
        <v>390.50000000000006</v>
      </c>
      <c r="O36" s="43">
        <v>390.50000000000006</v>
      </c>
      <c r="P36" s="44">
        <f t="shared" ref="P36:P41" si="27">O36</f>
        <v>390.50000000000006</v>
      </c>
      <c r="Q36" s="29"/>
      <c r="R36" s="475"/>
      <c r="X36" s="155"/>
    </row>
    <row r="37" spans="1:26" ht="18">
      <c r="A37" s="945">
        <f t="shared" si="24"/>
        <v>7.0299999999999994</v>
      </c>
      <c r="B37" s="24" t="s">
        <v>74</v>
      </c>
      <c r="C37" s="238" t="s">
        <v>1786</v>
      </c>
      <c r="D37" s="26"/>
      <c r="E37" s="27"/>
      <c r="F37" s="27"/>
      <c r="G37" s="27"/>
      <c r="H37" s="27">
        <v>8580</v>
      </c>
      <c r="I37" s="27">
        <f t="shared" si="23"/>
        <v>8580</v>
      </c>
      <c r="J37" s="27">
        <f t="shared" si="12"/>
        <v>8580</v>
      </c>
      <c r="K37" s="27">
        <f t="shared" si="2"/>
        <v>8580</v>
      </c>
      <c r="L37" s="27">
        <f t="shared" si="3"/>
        <v>9438</v>
      </c>
      <c r="M37" s="27">
        <f t="shared" si="25"/>
        <v>9438</v>
      </c>
      <c r="N37" s="43">
        <f t="shared" si="26"/>
        <v>9438</v>
      </c>
      <c r="O37" s="43">
        <v>9438</v>
      </c>
      <c r="P37" s="44">
        <f t="shared" si="27"/>
        <v>9438</v>
      </c>
      <c r="Q37" s="29"/>
      <c r="R37" s="475"/>
      <c r="X37" s="155"/>
    </row>
    <row r="38" spans="1:26" ht="18">
      <c r="A38" s="945">
        <f t="shared" si="24"/>
        <v>7.0399999999999991</v>
      </c>
      <c r="B38" s="24" t="s">
        <v>75</v>
      </c>
      <c r="C38" s="238" t="s">
        <v>1786</v>
      </c>
      <c r="D38" s="26"/>
      <c r="E38" s="27"/>
      <c r="F38" s="27"/>
      <c r="G38" s="27"/>
      <c r="H38" s="27">
        <v>575</v>
      </c>
      <c r="I38" s="27">
        <f t="shared" si="23"/>
        <v>575</v>
      </c>
      <c r="J38" s="27">
        <f t="shared" si="12"/>
        <v>575</v>
      </c>
      <c r="K38" s="27">
        <f t="shared" si="2"/>
        <v>575</v>
      </c>
      <c r="L38" s="27">
        <f t="shared" si="3"/>
        <v>632.5</v>
      </c>
      <c r="M38" s="27">
        <f t="shared" si="25"/>
        <v>632.5</v>
      </c>
      <c r="N38" s="43">
        <f t="shared" si="26"/>
        <v>632.5</v>
      </c>
      <c r="O38" s="43">
        <v>632.5</v>
      </c>
      <c r="P38" s="44">
        <f t="shared" si="27"/>
        <v>632.5</v>
      </c>
      <c r="Q38" s="29"/>
      <c r="R38" s="475"/>
      <c r="X38" s="155"/>
    </row>
    <row r="39" spans="1:26" ht="18">
      <c r="A39" s="945">
        <f t="shared" si="24"/>
        <v>7.0499999999999989</v>
      </c>
      <c r="B39" s="24" t="s">
        <v>76</v>
      </c>
      <c r="C39" s="238" t="s">
        <v>1770</v>
      </c>
      <c r="D39" s="26"/>
      <c r="E39" s="27"/>
      <c r="F39" s="27"/>
      <c r="G39" s="27"/>
      <c r="H39" s="27">
        <v>590</v>
      </c>
      <c r="I39" s="27">
        <f t="shared" si="23"/>
        <v>590</v>
      </c>
      <c r="J39" s="27">
        <f t="shared" si="12"/>
        <v>590</v>
      </c>
      <c r="K39" s="27">
        <f t="shared" si="2"/>
        <v>590</v>
      </c>
      <c r="L39" s="27">
        <f t="shared" si="3"/>
        <v>649</v>
      </c>
      <c r="M39" s="27">
        <f t="shared" si="25"/>
        <v>649</v>
      </c>
      <c r="N39" s="43">
        <f t="shared" si="26"/>
        <v>649</v>
      </c>
      <c r="O39" s="43">
        <v>649</v>
      </c>
      <c r="P39" s="44">
        <f t="shared" si="27"/>
        <v>649</v>
      </c>
      <c r="Q39" s="29"/>
      <c r="R39" s="475"/>
      <c r="X39" s="155"/>
    </row>
    <row r="40" spans="1:26" ht="18">
      <c r="A40" s="945">
        <f t="shared" si="24"/>
        <v>7.0599999999999987</v>
      </c>
      <c r="B40" s="24" t="s">
        <v>77</v>
      </c>
      <c r="C40" s="238" t="s">
        <v>1786</v>
      </c>
      <c r="D40" s="26"/>
      <c r="E40" s="27"/>
      <c r="F40" s="27"/>
      <c r="G40" s="27"/>
      <c r="H40" s="27">
        <v>280</v>
      </c>
      <c r="I40" s="27">
        <f t="shared" si="23"/>
        <v>280</v>
      </c>
      <c r="J40" s="27">
        <f t="shared" si="12"/>
        <v>280</v>
      </c>
      <c r="K40" s="27">
        <f t="shared" si="2"/>
        <v>280</v>
      </c>
      <c r="L40" s="27">
        <f t="shared" si="3"/>
        <v>308</v>
      </c>
      <c r="M40" s="27">
        <f t="shared" si="25"/>
        <v>308</v>
      </c>
      <c r="N40" s="43">
        <f t="shared" si="26"/>
        <v>308</v>
      </c>
      <c r="O40" s="43">
        <v>308</v>
      </c>
      <c r="P40" s="44">
        <f t="shared" si="27"/>
        <v>308</v>
      </c>
      <c r="Q40" s="29"/>
      <c r="R40" s="475"/>
      <c r="X40" s="155"/>
    </row>
    <row r="41" spans="1:26" ht="18">
      <c r="A41" s="945">
        <f t="shared" si="24"/>
        <v>7.0699999999999985</v>
      </c>
      <c r="B41" s="24" t="s">
        <v>78</v>
      </c>
      <c r="C41" s="238" t="s">
        <v>1770</v>
      </c>
      <c r="D41" s="26"/>
      <c r="E41" s="27"/>
      <c r="F41" s="27">
        <v>318</v>
      </c>
      <c r="G41" s="27">
        <v>302</v>
      </c>
      <c r="H41" s="27">
        <v>330</v>
      </c>
      <c r="I41" s="27">
        <f t="shared" si="23"/>
        <v>330</v>
      </c>
      <c r="J41" s="27">
        <f t="shared" si="12"/>
        <v>330</v>
      </c>
      <c r="K41" s="27">
        <f t="shared" si="2"/>
        <v>330</v>
      </c>
      <c r="L41" s="27">
        <f t="shared" si="3"/>
        <v>363.00000000000006</v>
      </c>
      <c r="M41" s="27">
        <f t="shared" si="25"/>
        <v>363.00000000000006</v>
      </c>
      <c r="N41" s="43">
        <f t="shared" si="26"/>
        <v>363.00000000000006</v>
      </c>
      <c r="O41" s="43">
        <v>363.00000000000006</v>
      </c>
      <c r="P41" s="44">
        <f t="shared" si="27"/>
        <v>363.00000000000006</v>
      </c>
      <c r="Q41" s="29"/>
      <c r="R41" s="475"/>
      <c r="X41" s="155"/>
    </row>
    <row r="42" spans="1:26" ht="31.9" customHeight="1">
      <c r="A42" s="494">
        <f t="shared" si="24"/>
        <v>7.0799999999999983</v>
      </c>
      <c r="B42" s="650" t="s">
        <v>2169</v>
      </c>
      <c r="C42" s="281" t="s">
        <v>1770</v>
      </c>
      <c r="D42" s="26"/>
      <c r="E42" s="27"/>
      <c r="F42" s="27"/>
      <c r="G42" s="27"/>
      <c r="H42" s="27"/>
      <c r="I42" s="27"/>
      <c r="J42" s="27"/>
      <c r="K42" s="27"/>
      <c r="L42" s="27"/>
      <c r="M42" s="909" t="s">
        <v>2160</v>
      </c>
      <c r="N42" s="909" t="s">
        <v>2160</v>
      </c>
      <c r="O42" s="48">
        <v>119.34</v>
      </c>
      <c r="P42" s="1470">
        <f>O42</f>
        <v>119.34</v>
      </c>
      <c r="Q42" s="29"/>
      <c r="R42" s="652" t="s">
        <v>2171</v>
      </c>
      <c r="X42" s="155"/>
    </row>
    <row r="43" spans="1:26" ht="18">
      <c r="A43" s="494">
        <f t="shared" si="24"/>
        <v>7.0899999999999981</v>
      </c>
      <c r="B43" s="651" t="s">
        <v>2170</v>
      </c>
      <c r="C43" s="281" t="s">
        <v>1786</v>
      </c>
      <c r="D43" s="26"/>
      <c r="E43" s="27"/>
      <c r="F43" s="27"/>
      <c r="G43" s="27"/>
      <c r="H43" s="27"/>
      <c r="I43" s="27"/>
      <c r="J43" s="27"/>
      <c r="K43" s="27"/>
      <c r="L43" s="27"/>
      <c r="M43" s="909" t="s">
        <v>2160</v>
      </c>
      <c r="N43" s="909" t="s">
        <v>2160</v>
      </c>
      <c r="O43" s="43">
        <v>2142</v>
      </c>
      <c r="P43" s="44">
        <f>O43</f>
        <v>2142</v>
      </c>
      <c r="Q43" s="29"/>
      <c r="R43" s="652" t="s">
        <v>2171</v>
      </c>
      <c r="X43" s="155"/>
    </row>
    <row r="44" spans="1:26" ht="18">
      <c r="A44" s="494">
        <f t="shared" si="24"/>
        <v>7.0999999999999979</v>
      </c>
      <c r="B44" s="651" t="s">
        <v>2172</v>
      </c>
      <c r="C44" s="281" t="s">
        <v>1786</v>
      </c>
      <c r="D44" s="26"/>
      <c r="E44" s="27"/>
      <c r="F44" s="27"/>
      <c r="G44" s="27"/>
      <c r="H44" s="27"/>
      <c r="I44" s="27"/>
      <c r="J44" s="27"/>
      <c r="K44" s="27"/>
      <c r="L44" s="27"/>
      <c r="M44" s="909" t="s">
        <v>2160</v>
      </c>
      <c r="N44" s="909" t="s">
        <v>2160</v>
      </c>
      <c r="O44" s="43">
        <v>1071</v>
      </c>
      <c r="P44" s="44">
        <f t="shared" ref="P44:P47" si="28">O44</f>
        <v>1071</v>
      </c>
      <c r="Q44" s="29"/>
      <c r="R44" s="652" t="s">
        <v>2171</v>
      </c>
      <c r="X44" s="155"/>
    </row>
    <row r="45" spans="1:26" ht="25.5">
      <c r="A45" s="494">
        <f t="shared" si="24"/>
        <v>7.1099999999999977</v>
      </c>
      <c r="B45" s="651" t="s">
        <v>2174</v>
      </c>
      <c r="C45" s="281" t="s">
        <v>1770</v>
      </c>
      <c r="D45" s="26"/>
      <c r="E45" s="27"/>
      <c r="F45" s="27"/>
      <c r="G45" s="27"/>
      <c r="H45" s="27"/>
      <c r="I45" s="27"/>
      <c r="J45" s="27"/>
      <c r="K45" s="27"/>
      <c r="L45" s="27"/>
      <c r="M45" s="909" t="s">
        <v>2160</v>
      </c>
      <c r="N45" s="909" t="s">
        <v>2160</v>
      </c>
      <c r="O45" s="43">
        <v>325.38</v>
      </c>
      <c r="P45" s="44">
        <f t="shared" si="28"/>
        <v>325.38</v>
      </c>
      <c r="Q45" s="29"/>
      <c r="R45" s="652" t="s">
        <v>2171</v>
      </c>
      <c r="X45" s="155"/>
    </row>
    <row r="46" spans="1:26" ht="38.25">
      <c r="A46" s="494">
        <f t="shared" si="24"/>
        <v>7.1199999999999974</v>
      </c>
      <c r="B46" s="651" t="s">
        <v>2175</v>
      </c>
      <c r="C46" s="281" t="s">
        <v>1770</v>
      </c>
      <c r="D46" s="26"/>
      <c r="E46" s="27"/>
      <c r="F46" s="27"/>
      <c r="G46" s="27"/>
      <c r="H46" s="27"/>
      <c r="I46" s="27"/>
      <c r="J46" s="27"/>
      <c r="K46" s="27"/>
      <c r="L46" s="27"/>
      <c r="M46" s="909" t="s">
        <v>2160</v>
      </c>
      <c r="N46" s="909" t="s">
        <v>2160</v>
      </c>
      <c r="O46" s="43">
        <v>1071</v>
      </c>
      <c r="P46" s="44">
        <f t="shared" si="28"/>
        <v>1071</v>
      </c>
      <c r="Q46" s="29"/>
      <c r="R46" s="652" t="s">
        <v>2171</v>
      </c>
      <c r="X46" s="155"/>
    </row>
    <row r="47" spans="1:26" ht="26.25" thickBot="1">
      <c r="A47" s="494">
        <f t="shared" si="24"/>
        <v>7.1299999999999972</v>
      </c>
      <c r="B47" s="651" t="s">
        <v>2173</v>
      </c>
      <c r="C47" s="281" t="s">
        <v>1770</v>
      </c>
      <c r="D47" s="26"/>
      <c r="E47" s="27"/>
      <c r="F47" s="27"/>
      <c r="G47" s="27"/>
      <c r="H47" s="27"/>
      <c r="I47" s="27"/>
      <c r="J47" s="27"/>
      <c r="K47" s="27"/>
      <c r="L47" s="27"/>
      <c r="M47" s="909" t="s">
        <v>2160</v>
      </c>
      <c r="N47" s="909" t="s">
        <v>2160</v>
      </c>
      <c r="O47" s="43">
        <v>434.52</v>
      </c>
      <c r="P47" s="44">
        <f t="shared" si="28"/>
        <v>434.52</v>
      </c>
      <c r="Q47" s="29"/>
      <c r="R47" s="652" t="s">
        <v>2171</v>
      </c>
      <c r="X47" s="155"/>
    </row>
    <row r="48" spans="1:26" ht="18.75" thickBot="1">
      <c r="A48" s="439">
        <v>8</v>
      </c>
      <c r="B48" s="385" t="s">
        <v>79</v>
      </c>
      <c r="C48" s="371"/>
      <c r="D48" s="378"/>
      <c r="E48" s="377"/>
      <c r="F48" s="377"/>
      <c r="G48" s="377"/>
      <c r="H48" s="377"/>
      <c r="I48" s="377"/>
      <c r="J48" s="373"/>
      <c r="K48" s="373"/>
      <c r="L48" s="373"/>
      <c r="M48" s="373"/>
      <c r="N48" s="373"/>
      <c r="O48" s="373"/>
      <c r="P48" s="429"/>
      <c r="Q48" s="1220"/>
      <c r="R48" s="1223" t="s">
        <v>2564</v>
      </c>
      <c r="S48" s="1223" t="s">
        <v>2565</v>
      </c>
      <c r="V48" s="1218" t="s">
        <v>2563</v>
      </c>
      <c r="W48" s="1218">
        <v>35.314666699999997</v>
      </c>
      <c r="X48" s="1218" t="s">
        <v>2105</v>
      </c>
    </row>
    <row r="49" spans="1:24" ht="21.6" customHeight="1" thickBot="1">
      <c r="A49" s="945">
        <f>A48+0.01</f>
        <v>8.01</v>
      </c>
      <c r="B49" s="24" t="s">
        <v>80</v>
      </c>
      <c r="C49" s="238" t="s">
        <v>1784</v>
      </c>
      <c r="D49" s="26">
        <v>37000</v>
      </c>
      <c r="E49" s="27">
        <v>47000</v>
      </c>
      <c r="F49" s="27">
        <v>74000</v>
      </c>
      <c r="G49" s="27">
        <v>76450</v>
      </c>
      <c r="H49" s="27">
        <v>150000</v>
      </c>
      <c r="I49" s="27">
        <f>H49</f>
        <v>150000</v>
      </c>
      <c r="J49" s="27">
        <f t="shared" si="12"/>
        <v>150000</v>
      </c>
      <c r="K49" s="27">
        <f t="shared" si="2"/>
        <v>150000</v>
      </c>
      <c r="L49" s="27">
        <f t="shared" si="3"/>
        <v>165000</v>
      </c>
      <c r="M49" s="27">
        <f t="shared" si="25"/>
        <v>165000</v>
      </c>
      <c r="N49" s="43">
        <f>M49</f>
        <v>165000</v>
      </c>
      <c r="O49" s="43">
        <v>165000</v>
      </c>
      <c r="P49" s="44">
        <f>O49</f>
        <v>165000</v>
      </c>
      <c r="Q49" s="1221"/>
      <c r="R49" s="1224">
        <v>4334</v>
      </c>
      <c r="S49" s="1226">
        <f>R49*$W$48</f>
        <v>153053.76547779999</v>
      </c>
      <c r="V49" s="1218"/>
      <c r="W49" s="1218"/>
      <c r="X49" s="155"/>
    </row>
    <row r="50" spans="1:24" ht="18.75" thickBot="1">
      <c r="A50" s="945">
        <f t="shared" ref="A50:A52" si="29">A49+0.01</f>
        <v>8.02</v>
      </c>
      <c r="B50" s="24" t="s">
        <v>81</v>
      </c>
      <c r="C50" s="238" t="s">
        <v>1784</v>
      </c>
      <c r="D50" s="26">
        <v>24000</v>
      </c>
      <c r="E50" s="27">
        <v>26500</v>
      </c>
      <c r="F50" s="27">
        <v>41000</v>
      </c>
      <c r="G50" s="27">
        <v>36100</v>
      </c>
      <c r="H50" s="27">
        <v>108000</v>
      </c>
      <c r="I50" s="27">
        <f>H50</f>
        <v>108000</v>
      </c>
      <c r="J50" s="27">
        <f t="shared" si="12"/>
        <v>108000</v>
      </c>
      <c r="K50" s="27">
        <f t="shared" si="2"/>
        <v>108000</v>
      </c>
      <c r="L50" s="27">
        <f t="shared" si="3"/>
        <v>118800.00000000001</v>
      </c>
      <c r="M50" s="27">
        <f t="shared" si="25"/>
        <v>118800.00000000001</v>
      </c>
      <c r="N50" s="43">
        <f t="shared" ref="N50:N52" si="30">M50</f>
        <v>118800.00000000001</v>
      </c>
      <c r="O50" s="43">
        <v>118800.00000000001</v>
      </c>
      <c r="P50" s="44">
        <f t="shared" ref="P50:P52" si="31">O50</f>
        <v>118800.00000000001</v>
      </c>
      <c r="Q50" s="1222"/>
      <c r="R50" s="1225">
        <v>3048</v>
      </c>
      <c r="S50" s="1226">
        <f t="shared" ref="S50:S51" si="32">R50*$W$48</f>
        <v>107639.10410159999</v>
      </c>
      <c r="X50" s="155"/>
    </row>
    <row r="51" spans="1:24" ht="18.75" thickBot="1">
      <c r="A51" s="945">
        <f t="shared" si="29"/>
        <v>8.0299999999999994</v>
      </c>
      <c r="B51" s="24" t="s">
        <v>82</v>
      </c>
      <c r="C51" s="238" t="s">
        <v>1784</v>
      </c>
      <c r="D51" s="26">
        <v>14000</v>
      </c>
      <c r="E51" s="27">
        <v>18000</v>
      </c>
      <c r="F51" s="27">
        <v>28000</v>
      </c>
      <c r="G51" s="27">
        <v>32705</v>
      </c>
      <c r="H51" s="27">
        <v>45300</v>
      </c>
      <c r="I51" s="27">
        <f>H51</f>
        <v>45300</v>
      </c>
      <c r="J51" s="27">
        <f t="shared" si="12"/>
        <v>45300</v>
      </c>
      <c r="K51" s="27">
        <f t="shared" si="2"/>
        <v>45300</v>
      </c>
      <c r="L51" s="27">
        <f t="shared" si="3"/>
        <v>49830.000000000007</v>
      </c>
      <c r="M51" s="27">
        <f t="shared" si="25"/>
        <v>49830.000000000007</v>
      </c>
      <c r="N51" s="43">
        <f t="shared" si="30"/>
        <v>49830.000000000007</v>
      </c>
      <c r="O51" s="43">
        <v>49830.000000000007</v>
      </c>
      <c r="P51" s="44">
        <f t="shared" si="31"/>
        <v>49830.000000000007</v>
      </c>
      <c r="Q51" s="1222"/>
      <c r="R51" s="1225">
        <v>1306</v>
      </c>
      <c r="S51" s="1226">
        <f t="shared" si="32"/>
        <v>46120.954710199992</v>
      </c>
      <c r="X51" s="155"/>
    </row>
    <row r="52" spans="1:24" ht="18">
      <c r="A52" s="945">
        <f t="shared" si="29"/>
        <v>8.0399999999999991</v>
      </c>
      <c r="B52" s="24" t="s">
        <v>83</v>
      </c>
      <c r="C52" s="238" t="s">
        <v>1770</v>
      </c>
      <c r="D52" s="26"/>
      <c r="E52" s="27">
        <v>6</v>
      </c>
      <c r="F52" s="27">
        <v>6</v>
      </c>
      <c r="G52" s="27">
        <v>7.5</v>
      </c>
      <c r="H52" s="27">
        <v>11.5</v>
      </c>
      <c r="I52" s="27">
        <f>H52</f>
        <v>11.5</v>
      </c>
      <c r="J52" s="27">
        <f t="shared" si="12"/>
        <v>11.5</v>
      </c>
      <c r="K52" s="27">
        <f t="shared" si="2"/>
        <v>11.5</v>
      </c>
      <c r="L52" s="27">
        <f t="shared" si="3"/>
        <v>12.65</v>
      </c>
      <c r="M52" s="27">
        <f t="shared" si="25"/>
        <v>12.65</v>
      </c>
      <c r="N52" s="43">
        <f t="shared" si="30"/>
        <v>12.65</v>
      </c>
      <c r="O52" s="43">
        <v>12.65</v>
      </c>
      <c r="P52" s="44">
        <f t="shared" si="31"/>
        <v>12.65</v>
      </c>
      <c r="Q52" s="946"/>
      <c r="R52" s="474"/>
      <c r="X52" s="155"/>
    </row>
    <row r="53" spans="1:24" ht="55.5">
      <c r="A53" s="434">
        <v>9</v>
      </c>
      <c r="B53" s="387" t="s">
        <v>2106</v>
      </c>
      <c r="C53" s="371"/>
      <c r="D53" s="378"/>
      <c r="E53" s="377"/>
      <c r="F53" s="377"/>
      <c r="G53" s="377"/>
      <c r="H53" s="377"/>
      <c r="I53" s="377"/>
      <c r="J53" s="373"/>
      <c r="K53" s="373"/>
      <c r="L53" s="373"/>
      <c r="M53" s="373"/>
      <c r="N53" s="373"/>
      <c r="O53" s="373"/>
      <c r="P53" s="429"/>
      <c r="Q53" s="431"/>
      <c r="R53" s="476"/>
      <c r="X53" s="155"/>
    </row>
    <row r="54" spans="1:24" ht="18">
      <c r="A54" s="945">
        <f>A53+0.01</f>
        <v>9.01</v>
      </c>
      <c r="B54" s="24" t="s">
        <v>84</v>
      </c>
      <c r="C54" s="238" t="s">
        <v>1870</v>
      </c>
      <c r="D54" s="26">
        <v>37000</v>
      </c>
      <c r="E54" s="27">
        <v>47000</v>
      </c>
      <c r="F54" s="27">
        <v>74000</v>
      </c>
      <c r="G54" s="27">
        <v>76450</v>
      </c>
      <c r="H54" s="27">
        <v>221</v>
      </c>
      <c r="I54" s="27">
        <f>H54</f>
        <v>221</v>
      </c>
      <c r="J54" s="27">
        <f t="shared" ref="J54:J82" si="33">I54</f>
        <v>221</v>
      </c>
      <c r="K54" s="27">
        <f t="shared" si="2"/>
        <v>221</v>
      </c>
      <c r="L54" s="27">
        <f t="shared" si="3"/>
        <v>243.10000000000002</v>
      </c>
      <c r="M54" s="27">
        <f t="shared" si="25"/>
        <v>243.10000000000002</v>
      </c>
      <c r="N54" s="43">
        <f>M54</f>
        <v>243.10000000000002</v>
      </c>
      <c r="O54" s="43">
        <v>243.10000000000002</v>
      </c>
      <c r="P54" s="44">
        <f>O54</f>
        <v>243.10000000000002</v>
      </c>
      <c r="Q54" s="29"/>
      <c r="R54" s="475"/>
      <c r="X54" s="155"/>
    </row>
    <row r="55" spans="1:24" ht="18">
      <c r="A55" s="945">
        <f>A54+0.01</f>
        <v>9.02</v>
      </c>
      <c r="B55" s="24" t="s">
        <v>85</v>
      </c>
      <c r="C55" s="238" t="s">
        <v>1870</v>
      </c>
      <c r="D55" s="26">
        <v>24000</v>
      </c>
      <c r="E55" s="27">
        <v>26500</v>
      </c>
      <c r="F55" s="27">
        <v>41000</v>
      </c>
      <c r="G55" s="27">
        <v>36100</v>
      </c>
      <c r="H55" s="27">
        <v>415</v>
      </c>
      <c r="I55" s="27">
        <f>H55</f>
        <v>415</v>
      </c>
      <c r="J55" s="27">
        <f t="shared" si="33"/>
        <v>415</v>
      </c>
      <c r="K55" s="27">
        <f t="shared" si="2"/>
        <v>415</v>
      </c>
      <c r="L55" s="27">
        <f t="shared" si="3"/>
        <v>456.50000000000006</v>
      </c>
      <c r="M55" s="27">
        <f t="shared" si="25"/>
        <v>456.50000000000006</v>
      </c>
      <c r="N55" s="43">
        <f>M55</f>
        <v>456.50000000000006</v>
      </c>
      <c r="O55" s="43">
        <v>456.50000000000006</v>
      </c>
      <c r="P55" s="44">
        <f>O55</f>
        <v>456.50000000000006</v>
      </c>
      <c r="Q55" s="29"/>
      <c r="R55" s="475"/>
      <c r="X55" s="155"/>
    </row>
    <row r="56" spans="1:24" ht="18">
      <c r="A56" s="434">
        <v>10</v>
      </c>
      <c r="B56" s="385" t="s">
        <v>86</v>
      </c>
      <c r="C56" s="371"/>
      <c r="D56" s="384"/>
      <c r="E56" s="373"/>
      <c r="F56" s="373"/>
      <c r="G56" s="373"/>
      <c r="H56" s="373"/>
      <c r="I56" s="373"/>
      <c r="J56" s="373"/>
      <c r="K56" s="373"/>
      <c r="L56" s="373"/>
      <c r="M56" s="373"/>
      <c r="N56" s="373"/>
      <c r="O56" s="373"/>
      <c r="P56" s="429"/>
      <c r="Q56" s="431"/>
      <c r="R56" s="476"/>
      <c r="X56" s="155"/>
    </row>
    <row r="57" spans="1:24" ht="18">
      <c r="A57" s="945">
        <f>A56+0.01</f>
        <v>10.01</v>
      </c>
      <c r="B57" s="35" t="s">
        <v>87</v>
      </c>
      <c r="C57" s="238" t="s">
        <v>1787</v>
      </c>
      <c r="D57" s="26">
        <v>18</v>
      </c>
      <c r="E57" s="27">
        <v>22</v>
      </c>
      <c r="F57" s="27">
        <v>22</v>
      </c>
      <c r="G57" s="27">
        <v>23</v>
      </c>
      <c r="H57" s="27">
        <v>33</v>
      </c>
      <c r="I57" s="27">
        <f>H57</f>
        <v>33</v>
      </c>
      <c r="J57" s="27">
        <f t="shared" si="33"/>
        <v>33</v>
      </c>
      <c r="K57" s="27">
        <f t="shared" si="2"/>
        <v>33</v>
      </c>
      <c r="L57" s="27">
        <f t="shared" si="3"/>
        <v>36.300000000000004</v>
      </c>
      <c r="M57" s="27">
        <f t="shared" si="25"/>
        <v>36.300000000000004</v>
      </c>
      <c r="N57" s="43">
        <f>M57</f>
        <v>36.300000000000004</v>
      </c>
      <c r="O57" s="43">
        <v>36.300000000000004</v>
      </c>
      <c r="P57" s="44">
        <f>O57</f>
        <v>36.300000000000004</v>
      </c>
      <c r="Q57" s="29"/>
      <c r="R57" s="475"/>
      <c r="X57" s="155"/>
    </row>
    <row r="58" spans="1:24" ht="18">
      <c r="A58" s="945">
        <f t="shared" ref="A58:A61" si="34">A57+0.01</f>
        <v>10.02</v>
      </c>
      <c r="B58" s="35" t="s">
        <v>89</v>
      </c>
      <c r="C58" s="238" t="s">
        <v>1787</v>
      </c>
      <c r="D58" s="26">
        <v>22</v>
      </c>
      <c r="E58" s="27">
        <v>35</v>
      </c>
      <c r="F58" s="27">
        <v>35</v>
      </c>
      <c r="G58" s="27">
        <v>37</v>
      </c>
      <c r="H58" s="27">
        <v>41</v>
      </c>
      <c r="I58" s="27">
        <f>H58</f>
        <v>41</v>
      </c>
      <c r="J58" s="27">
        <f t="shared" si="33"/>
        <v>41</v>
      </c>
      <c r="K58" s="27">
        <f t="shared" si="2"/>
        <v>41</v>
      </c>
      <c r="L58" s="27">
        <f t="shared" si="3"/>
        <v>45.1</v>
      </c>
      <c r="M58" s="27">
        <f t="shared" si="25"/>
        <v>45.1</v>
      </c>
      <c r="N58" s="27">
        <f t="shared" ref="N58:N123" si="35">M58</f>
        <v>45.1</v>
      </c>
      <c r="O58" s="43">
        <v>45.1</v>
      </c>
      <c r="P58" s="44">
        <f t="shared" ref="P58:P61" si="36">O58</f>
        <v>45.1</v>
      </c>
      <c r="Q58" s="29"/>
      <c r="R58" s="475"/>
      <c r="X58" s="155"/>
    </row>
    <row r="59" spans="1:24" ht="18">
      <c r="A59" s="945">
        <f t="shared" si="34"/>
        <v>10.029999999999999</v>
      </c>
      <c r="B59" s="35" t="s">
        <v>90</v>
      </c>
      <c r="C59" s="238" t="s">
        <v>1787</v>
      </c>
      <c r="D59" s="26">
        <v>27</v>
      </c>
      <c r="E59" s="27">
        <v>47</v>
      </c>
      <c r="F59" s="27">
        <v>47</v>
      </c>
      <c r="G59" s="27">
        <v>49</v>
      </c>
      <c r="H59" s="27">
        <v>58</v>
      </c>
      <c r="I59" s="27">
        <f>H59</f>
        <v>58</v>
      </c>
      <c r="J59" s="27">
        <f t="shared" si="33"/>
        <v>58</v>
      </c>
      <c r="K59" s="27">
        <f t="shared" si="2"/>
        <v>58</v>
      </c>
      <c r="L59" s="27">
        <f t="shared" si="3"/>
        <v>63.800000000000004</v>
      </c>
      <c r="M59" s="27">
        <f t="shared" si="25"/>
        <v>63.800000000000004</v>
      </c>
      <c r="N59" s="27">
        <f t="shared" si="35"/>
        <v>63.800000000000004</v>
      </c>
      <c r="O59" s="43">
        <v>63.800000000000004</v>
      </c>
      <c r="P59" s="44">
        <f t="shared" si="36"/>
        <v>63.800000000000004</v>
      </c>
      <c r="Q59" s="29"/>
      <c r="R59" s="475"/>
      <c r="X59" s="155"/>
    </row>
    <row r="60" spans="1:24" ht="18">
      <c r="A60" s="945">
        <f t="shared" si="34"/>
        <v>10.039999999999999</v>
      </c>
      <c r="B60" s="24" t="s">
        <v>91</v>
      </c>
      <c r="C60" s="238" t="s">
        <v>1787</v>
      </c>
      <c r="D60" s="26">
        <v>36</v>
      </c>
      <c r="E60" s="27">
        <v>58</v>
      </c>
      <c r="F60" s="27">
        <v>58</v>
      </c>
      <c r="G60" s="27">
        <v>60</v>
      </c>
      <c r="H60" s="27">
        <v>69</v>
      </c>
      <c r="I60" s="27">
        <f>H60</f>
        <v>69</v>
      </c>
      <c r="J60" s="27">
        <f t="shared" si="33"/>
        <v>69</v>
      </c>
      <c r="K60" s="27">
        <f t="shared" si="2"/>
        <v>69</v>
      </c>
      <c r="L60" s="27">
        <f t="shared" si="3"/>
        <v>75.900000000000006</v>
      </c>
      <c r="M60" s="27">
        <f t="shared" si="25"/>
        <v>75.900000000000006</v>
      </c>
      <c r="N60" s="27">
        <f t="shared" si="35"/>
        <v>75.900000000000006</v>
      </c>
      <c r="O60" s="43">
        <v>75.900000000000006</v>
      </c>
      <c r="P60" s="44">
        <f t="shared" si="36"/>
        <v>75.900000000000006</v>
      </c>
      <c r="Q60" s="29"/>
      <c r="R60" s="475"/>
      <c r="X60" s="155"/>
    </row>
    <row r="61" spans="1:24" ht="18">
      <c r="A61" s="945">
        <f t="shared" si="34"/>
        <v>10.049999999999999</v>
      </c>
      <c r="B61" s="24" t="s">
        <v>92</v>
      </c>
      <c r="C61" s="238" t="s">
        <v>1787</v>
      </c>
      <c r="D61" s="26">
        <v>41</v>
      </c>
      <c r="E61" s="27">
        <v>70</v>
      </c>
      <c r="F61" s="27">
        <v>70</v>
      </c>
      <c r="G61" s="27">
        <v>73</v>
      </c>
      <c r="H61" s="27">
        <v>90</v>
      </c>
      <c r="I61" s="27">
        <f>H61</f>
        <v>90</v>
      </c>
      <c r="J61" s="27">
        <f t="shared" si="33"/>
        <v>90</v>
      </c>
      <c r="K61" s="27">
        <f t="shared" si="2"/>
        <v>90</v>
      </c>
      <c r="L61" s="27">
        <f t="shared" si="3"/>
        <v>99.000000000000014</v>
      </c>
      <c r="M61" s="27">
        <f t="shared" si="25"/>
        <v>99.000000000000014</v>
      </c>
      <c r="N61" s="27">
        <f t="shared" si="35"/>
        <v>99.000000000000014</v>
      </c>
      <c r="O61" s="43">
        <v>99.000000000000014</v>
      </c>
      <c r="P61" s="44">
        <f t="shared" si="36"/>
        <v>99.000000000000014</v>
      </c>
      <c r="Q61" s="29"/>
      <c r="R61" s="475"/>
      <c r="X61" s="155"/>
    </row>
    <row r="62" spans="1:24" ht="18">
      <c r="A62" s="434">
        <v>11</v>
      </c>
      <c r="B62" s="385" t="s">
        <v>93</v>
      </c>
      <c r="C62" s="371"/>
      <c r="D62" s="384"/>
      <c r="E62" s="373"/>
      <c r="F62" s="373"/>
      <c r="G62" s="373"/>
      <c r="H62" s="373"/>
      <c r="I62" s="373"/>
      <c r="J62" s="373"/>
      <c r="K62" s="373"/>
      <c r="L62" s="373"/>
      <c r="M62" s="373"/>
      <c r="N62" s="373"/>
      <c r="O62" s="373"/>
      <c r="P62" s="429"/>
      <c r="Q62" s="431"/>
      <c r="R62" s="476"/>
      <c r="X62" s="155"/>
    </row>
    <row r="63" spans="1:24" ht="18">
      <c r="A63" s="945">
        <f>A62+0.01</f>
        <v>11.01</v>
      </c>
      <c r="B63" s="24" t="s">
        <v>94</v>
      </c>
      <c r="C63" s="238" t="s">
        <v>1787</v>
      </c>
      <c r="D63" s="26">
        <v>11</v>
      </c>
      <c r="E63" s="27">
        <v>16</v>
      </c>
      <c r="F63" s="27">
        <v>16</v>
      </c>
      <c r="G63" s="27">
        <v>17</v>
      </c>
      <c r="H63" s="27">
        <v>12</v>
      </c>
      <c r="I63" s="27">
        <f>H63</f>
        <v>12</v>
      </c>
      <c r="J63" s="27">
        <f t="shared" si="33"/>
        <v>12</v>
      </c>
      <c r="K63" s="27">
        <f t="shared" si="2"/>
        <v>12</v>
      </c>
      <c r="L63" s="27">
        <f t="shared" si="3"/>
        <v>13.200000000000001</v>
      </c>
      <c r="M63" s="27">
        <f t="shared" si="25"/>
        <v>13.200000000000001</v>
      </c>
      <c r="N63" s="27">
        <f t="shared" si="35"/>
        <v>13.200000000000001</v>
      </c>
      <c r="O63" s="27">
        <v>13.200000000000001</v>
      </c>
      <c r="P63" s="28">
        <f>O63</f>
        <v>13.200000000000001</v>
      </c>
      <c r="Q63" s="29"/>
      <c r="R63" s="475"/>
      <c r="X63" s="155"/>
    </row>
    <row r="64" spans="1:24" ht="18">
      <c r="A64" s="945">
        <f t="shared" ref="A64:A65" si="37">A63+0.01</f>
        <v>11.02</v>
      </c>
      <c r="B64" s="24" t="s">
        <v>95</v>
      </c>
      <c r="C64" s="238" t="s">
        <v>1787</v>
      </c>
      <c r="D64" s="26">
        <v>18</v>
      </c>
      <c r="E64" s="27">
        <v>27</v>
      </c>
      <c r="F64" s="27">
        <v>20</v>
      </c>
      <c r="G64" s="27">
        <v>21</v>
      </c>
      <c r="H64" s="27">
        <v>22</v>
      </c>
      <c r="I64" s="27">
        <f>H64</f>
        <v>22</v>
      </c>
      <c r="J64" s="27">
        <f t="shared" si="33"/>
        <v>22</v>
      </c>
      <c r="K64" s="27">
        <f t="shared" si="2"/>
        <v>22</v>
      </c>
      <c r="L64" s="27">
        <f t="shared" si="3"/>
        <v>24.200000000000003</v>
      </c>
      <c r="M64" s="27">
        <f t="shared" si="25"/>
        <v>24.200000000000003</v>
      </c>
      <c r="N64" s="27">
        <f t="shared" si="35"/>
        <v>24.200000000000003</v>
      </c>
      <c r="O64" s="27">
        <v>24.200000000000003</v>
      </c>
      <c r="P64" s="28">
        <f t="shared" ref="P64:P65" si="38">O64</f>
        <v>24.200000000000003</v>
      </c>
      <c r="Q64" s="29"/>
      <c r="R64" s="475"/>
      <c r="X64" s="155"/>
    </row>
    <row r="65" spans="1:24" ht="18">
      <c r="A65" s="945">
        <f t="shared" si="37"/>
        <v>11.03</v>
      </c>
      <c r="B65" s="24" t="s">
        <v>96</v>
      </c>
      <c r="C65" s="238" t="s">
        <v>1787</v>
      </c>
      <c r="D65" s="26">
        <v>27</v>
      </c>
      <c r="E65" s="27">
        <v>38</v>
      </c>
      <c r="F65" s="27">
        <v>25</v>
      </c>
      <c r="G65" s="27">
        <v>26</v>
      </c>
      <c r="H65" s="27">
        <v>48</v>
      </c>
      <c r="I65" s="27">
        <f>H65</f>
        <v>48</v>
      </c>
      <c r="J65" s="27">
        <f t="shared" si="33"/>
        <v>48</v>
      </c>
      <c r="K65" s="27">
        <f t="shared" si="2"/>
        <v>48</v>
      </c>
      <c r="L65" s="27">
        <f t="shared" si="3"/>
        <v>52.800000000000004</v>
      </c>
      <c r="M65" s="27">
        <f t="shared" si="25"/>
        <v>52.800000000000004</v>
      </c>
      <c r="N65" s="27">
        <f t="shared" si="35"/>
        <v>52.800000000000004</v>
      </c>
      <c r="O65" s="27">
        <v>52.800000000000004</v>
      </c>
      <c r="P65" s="28">
        <f t="shared" si="38"/>
        <v>52.800000000000004</v>
      </c>
      <c r="Q65" s="29"/>
      <c r="R65" s="475"/>
      <c r="X65" s="155"/>
    </row>
    <row r="66" spans="1:24" ht="18">
      <c r="A66" s="434">
        <v>12</v>
      </c>
      <c r="B66" s="385" t="s">
        <v>97</v>
      </c>
      <c r="C66" s="371"/>
      <c r="D66" s="384"/>
      <c r="E66" s="373"/>
      <c r="F66" s="373"/>
      <c r="G66" s="373"/>
      <c r="H66" s="373"/>
      <c r="I66" s="373"/>
      <c r="J66" s="373"/>
      <c r="K66" s="373"/>
      <c r="L66" s="373"/>
      <c r="M66" s="373"/>
      <c r="N66" s="373"/>
      <c r="O66" s="373"/>
      <c r="P66" s="429"/>
      <c r="Q66" s="431"/>
      <c r="R66" s="476"/>
      <c r="X66" s="155"/>
    </row>
    <row r="67" spans="1:24" ht="18">
      <c r="A67" s="945">
        <f>A66+0.01</f>
        <v>12.01</v>
      </c>
      <c r="B67" s="36" t="s">
        <v>98</v>
      </c>
      <c r="C67" s="238" t="s">
        <v>1787</v>
      </c>
      <c r="D67" s="26">
        <v>21</v>
      </c>
      <c r="E67" s="27">
        <v>25</v>
      </c>
      <c r="F67" s="27">
        <v>25</v>
      </c>
      <c r="G67" s="27">
        <v>26</v>
      </c>
      <c r="H67" s="27">
        <v>22</v>
      </c>
      <c r="I67" s="27">
        <f t="shared" ref="I67:I82" si="39">H67</f>
        <v>22</v>
      </c>
      <c r="J67" s="27">
        <f t="shared" si="33"/>
        <v>22</v>
      </c>
      <c r="K67" s="27">
        <f t="shared" si="2"/>
        <v>22</v>
      </c>
      <c r="L67" s="27">
        <f t="shared" si="3"/>
        <v>24.200000000000003</v>
      </c>
      <c r="M67" s="27">
        <f t="shared" si="25"/>
        <v>24.200000000000003</v>
      </c>
      <c r="N67" s="27">
        <f t="shared" si="35"/>
        <v>24.200000000000003</v>
      </c>
      <c r="O67" s="27">
        <v>24.200000000000003</v>
      </c>
      <c r="P67" s="28">
        <f>O67</f>
        <v>24.200000000000003</v>
      </c>
      <c r="Q67" s="29"/>
      <c r="R67" s="475"/>
      <c r="X67" s="155"/>
    </row>
    <row r="68" spans="1:24" ht="18">
      <c r="A68" s="945">
        <f t="shared" ref="A68:A81" si="40">A67+0.01</f>
        <v>12.02</v>
      </c>
      <c r="B68" s="24" t="s">
        <v>99</v>
      </c>
      <c r="C68" s="238" t="s">
        <v>1787</v>
      </c>
      <c r="D68" s="26">
        <v>41</v>
      </c>
      <c r="E68" s="27">
        <v>30</v>
      </c>
      <c r="F68" s="27">
        <v>30</v>
      </c>
      <c r="G68" s="27">
        <v>31</v>
      </c>
      <c r="H68" s="27">
        <v>27</v>
      </c>
      <c r="I68" s="27">
        <f t="shared" si="39"/>
        <v>27</v>
      </c>
      <c r="J68" s="27">
        <f t="shared" si="33"/>
        <v>27</v>
      </c>
      <c r="K68" s="27">
        <f t="shared" si="2"/>
        <v>27</v>
      </c>
      <c r="L68" s="27">
        <f t="shared" si="3"/>
        <v>29.700000000000003</v>
      </c>
      <c r="M68" s="27">
        <f t="shared" si="25"/>
        <v>29.700000000000003</v>
      </c>
      <c r="N68" s="27">
        <f t="shared" si="35"/>
        <v>29.700000000000003</v>
      </c>
      <c r="O68" s="27">
        <v>29.700000000000003</v>
      </c>
      <c r="P68" s="28">
        <f t="shared" ref="P68:P81" si="41">O68</f>
        <v>29.700000000000003</v>
      </c>
      <c r="Q68" s="29"/>
      <c r="R68" s="475"/>
      <c r="X68" s="155"/>
    </row>
    <row r="69" spans="1:24" ht="18">
      <c r="A69" s="945">
        <f t="shared" si="40"/>
        <v>12.03</v>
      </c>
      <c r="B69" s="24" t="s">
        <v>100</v>
      </c>
      <c r="C69" s="238" t="s">
        <v>1787</v>
      </c>
      <c r="D69" s="26">
        <v>82</v>
      </c>
      <c r="E69" s="27">
        <v>130</v>
      </c>
      <c r="F69" s="27">
        <v>130</v>
      </c>
      <c r="G69" s="27">
        <v>135</v>
      </c>
      <c r="H69" s="27">
        <v>194</v>
      </c>
      <c r="I69" s="27">
        <f t="shared" si="39"/>
        <v>194</v>
      </c>
      <c r="J69" s="27">
        <f t="shared" si="33"/>
        <v>194</v>
      </c>
      <c r="K69" s="27">
        <f t="shared" si="2"/>
        <v>194</v>
      </c>
      <c r="L69" s="27">
        <f t="shared" si="3"/>
        <v>213.4</v>
      </c>
      <c r="M69" s="27">
        <f t="shared" si="25"/>
        <v>213.4</v>
      </c>
      <c r="N69" s="27">
        <f t="shared" si="35"/>
        <v>213.4</v>
      </c>
      <c r="O69" s="27">
        <v>213.4</v>
      </c>
      <c r="P69" s="28">
        <f t="shared" si="41"/>
        <v>213.4</v>
      </c>
      <c r="Q69" s="29"/>
      <c r="R69" s="475"/>
      <c r="X69" s="155"/>
    </row>
    <row r="70" spans="1:24" ht="18">
      <c r="A70" s="945">
        <f t="shared" si="40"/>
        <v>12.04</v>
      </c>
      <c r="B70" s="24" t="s">
        <v>101</v>
      </c>
      <c r="C70" s="238" t="s">
        <v>1787</v>
      </c>
      <c r="D70" s="26">
        <v>63</v>
      </c>
      <c r="E70" s="27">
        <v>105</v>
      </c>
      <c r="F70" s="27">
        <v>105</v>
      </c>
      <c r="G70" s="27">
        <v>110</v>
      </c>
      <c r="H70" s="27">
        <v>184</v>
      </c>
      <c r="I70" s="27">
        <f t="shared" si="39"/>
        <v>184</v>
      </c>
      <c r="J70" s="27">
        <f t="shared" si="33"/>
        <v>184</v>
      </c>
      <c r="K70" s="27">
        <f t="shared" si="2"/>
        <v>184</v>
      </c>
      <c r="L70" s="27">
        <f t="shared" si="3"/>
        <v>202.4</v>
      </c>
      <c r="M70" s="27">
        <f t="shared" si="25"/>
        <v>202.4</v>
      </c>
      <c r="N70" s="27">
        <f t="shared" si="35"/>
        <v>202.4</v>
      </c>
      <c r="O70" s="27">
        <v>202.4</v>
      </c>
      <c r="P70" s="28">
        <f t="shared" si="41"/>
        <v>202.4</v>
      </c>
      <c r="Q70" s="29"/>
      <c r="R70" s="475"/>
      <c r="X70" s="155"/>
    </row>
    <row r="71" spans="1:24" ht="18">
      <c r="A71" s="945">
        <f t="shared" si="40"/>
        <v>12.049999999999999</v>
      </c>
      <c r="B71" s="24" t="s">
        <v>102</v>
      </c>
      <c r="C71" s="238" t="s">
        <v>1787</v>
      </c>
      <c r="D71" s="26">
        <v>0.4</v>
      </c>
      <c r="E71" s="27">
        <v>1</v>
      </c>
      <c r="F71" s="27">
        <v>1</v>
      </c>
      <c r="G71" s="27">
        <v>1</v>
      </c>
      <c r="H71" s="27">
        <v>1</v>
      </c>
      <c r="I71" s="27">
        <f t="shared" si="39"/>
        <v>1</v>
      </c>
      <c r="J71" s="27">
        <f t="shared" si="33"/>
        <v>1</v>
      </c>
      <c r="K71" s="27">
        <f t="shared" si="2"/>
        <v>1</v>
      </c>
      <c r="L71" s="27">
        <f t="shared" si="3"/>
        <v>1.1000000000000001</v>
      </c>
      <c r="M71" s="27">
        <f t="shared" si="25"/>
        <v>1.1000000000000001</v>
      </c>
      <c r="N71" s="27">
        <f t="shared" si="35"/>
        <v>1.1000000000000001</v>
      </c>
      <c r="O71" s="27">
        <v>1.1000000000000001</v>
      </c>
      <c r="P71" s="28">
        <f t="shared" si="41"/>
        <v>1.1000000000000001</v>
      </c>
      <c r="Q71" s="29"/>
      <c r="R71" s="475"/>
      <c r="X71" s="155"/>
    </row>
    <row r="72" spans="1:24" ht="18">
      <c r="A72" s="945">
        <f t="shared" si="40"/>
        <v>12.059999999999999</v>
      </c>
      <c r="B72" s="24" t="s">
        <v>103</v>
      </c>
      <c r="C72" s="238" t="s">
        <v>1787</v>
      </c>
      <c r="D72" s="26">
        <v>9</v>
      </c>
      <c r="E72" s="27">
        <v>13</v>
      </c>
      <c r="F72" s="27">
        <v>13</v>
      </c>
      <c r="G72" s="27">
        <v>14</v>
      </c>
      <c r="H72" s="27">
        <v>23</v>
      </c>
      <c r="I72" s="27">
        <f t="shared" si="39"/>
        <v>23</v>
      </c>
      <c r="J72" s="27">
        <f t="shared" si="33"/>
        <v>23</v>
      </c>
      <c r="K72" s="27">
        <f t="shared" si="2"/>
        <v>23</v>
      </c>
      <c r="L72" s="27">
        <f t="shared" si="3"/>
        <v>25.3</v>
      </c>
      <c r="M72" s="27">
        <f t="shared" si="25"/>
        <v>25.3</v>
      </c>
      <c r="N72" s="27">
        <f t="shared" si="35"/>
        <v>25.3</v>
      </c>
      <c r="O72" s="27">
        <v>25.3</v>
      </c>
      <c r="P72" s="28">
        <f t="shared" si="41"/>
        <v>25.3</v>
      </c>
      <c r="Q72" s="29"/>
      <c r="R72" s="475"/>
      <c r="X72" s="155"/>
    </row>
    <row r="73" spans="1:24" ht="18">
      <c r="A73" s="945">
        <f t="shared" si="40"/>
        <v>12.069999999999999</v>
      </c>
      <c r="B73" s="24" t="s">
        <v>104</v>
      </c>
      <c r="C73" s="238" t="s">
        <v>1787</v>
      </c>
      <c r="D73" s="26">
        <v>1</v>
      </c>
      <c r="E73" s="27">
        <v>1</v>
      </c>
      <c r="F73" s="27">
        <v>1</v>
      </c>
      <c r="G73" s="27">
        <v>1</v>
      </c>
      <c r="H73" s="27">
        <v>2</v>
      </c>
      <c r="I73" s="27">
        <f t="shared" si="39"/>
        <v>2</v>
      </c>
      <c r="J73" s="27">
        <f t="shared" si="33"/>
        <v>2</v>
      </c>
      <c r="K73" s="27">
        <f t="shared" si="2"/>
        <v>2</v>
      </c>
      <c r="L73" s="27">
        <f t="shared" si="3"/>
        <v>2.2000000000000002</v>
      </c>
      <c r="M73" s="27">
        <f t="shared" si="25"/>
        <v>2.2000000000000002</v>
      </c>
      <c r="N73" s="27">
        <f t="shared" si="35"/>
        <v>2.2000000000000002</v>
      </c>
      <c r="O73" s="27">
        <v>2.2000000000000002</v>
      </c>
      <c r="P73" s="28">
        <f t="shared" si="41"/>
        <v>2.2000000000000002</v>
      </c>
      <c r="Q73" s="29"/>
      <c r="R73" s="475"/>
      <c r="X73" s="155"/>
    </row>
    <row r="74" spans="1:24" ht="18">
      <c r="A74" s="945">
        <f t="shared" si="40"/>
        <v>12.079999999999998</v>
      </c>
      <c r="B74" s="24" t="s">
        <v>105</v>
      </c>
      <c r="C74" s="238" t="s">
        <v>1787</v>
      </c>
      <c r="D74" s="26">
        <v>375</v>
      </c>
      <c r="E74" s="27">
        <v>700</v>
      </c>
      <c r="F74" s="27">
        <v>600</v>
      </c>
      <c r="G74" s="27">
        <v>625</v>
      </c>
      <c r="H74" s="27">
        <v>1208</v>
      </c>
      <c r="I74" s="27">
        <f t="shared" si="39"/>
        <v>1208</v>
      </c>
      <c r="J74" s="27">
        <f t="shared" si="33"/>
        <v>1208</v>
      </c>
      <c r="K74" s="27">
        <f t="shared" ref="K74:K133" si="42">J74</f>
        <v>1208</v>
      </c>
      <c r="L74" s="27">
        <f t="shared" ref="L74:L140" si="43">K74*1.1</f>
        <v>1328.8000000000002</v>
      </c>
      <c r="M74" s="27">
        <f t="shared" si="25"/>
        <v>1328.8000000000002</v>
      </c>
      <c r="N74" s="27">
        <f t="shared" si="35"/>
        <v>1328.8000000000002</v>
      </c>
      <c r="O74" s="27">
        <v>1328.8000000000002</v>
      </c>
      <c r="P74" s="28">
        <f t="shared" si="41"/>
        <v>1328.8000000000002</v>
      </c>
      <c r="Q74" s="29"/>
      <c r="R74" s="475"/>
      <c r="X74" s="155"/>
    </row>
    <row r="75" spans="1:24" ht="18">
      <c r="A75" s="945">
        <f t="shared" si="40"/>
        <v>12.089999999999998</v>
      </c>
      <c r="B75" s="24" t="s">
        <v>106</v>
      </c>
      <c r="C75" s="238" t="s">
        <v>1787</v>
      </c>
      <c r="D75" s="26">
        <v>8</v>
      </c>
      <c r="E75" s="27">
        <v>12</v>
      </c>
      <c r="F75" s="27">
        <v>13</v>
      </c>
      <c r="G75" s="27">
        <v>14</v>
      </c>
      <c r="H75" s="27">
        <v>19</v>
      </c>
      <c r="I75" s="27">
        <f t="shared" si="39"/>
        <v>19</v>
      </c>
      <c r="J75" s="27">
        <f t="shared" si="33"/>
        <v>19</v>
      </c>
      <c r="K75" s="27">
        <f t="shared" si="42"/>
        <v>19</v>
      </c>
      <c r="L75" s="27">
        <f t="shared" si="43"/>
        <v>20.900000000000002</v>
      </c>
      <c r="M75" s="27">
        <f t="shared" si="25"/>
        <v>20.900000000000002</v>
      </c>
      <c r="N75" s="27">
        <f t="shared" si="35"/>
        <v>20.900000000000002</v>
      </c>
      <c r="O75" s="27">
        <v>20.900000000000002</v>
      </c>
      <c r="P75" s="28">
        <f t="shared" si="41"/>
        <v>20.900000000000002</v>
      </c>
      <c r="Q75" s="29"/>
      <c r="R75" s="475"/>
      <c r="X75" s="155"/>
    </row>
    <row r="76" spans="1:24" ht="18">
      <c r="A76" s="945">
        <f t="shared" si="40"/>
        <v>12.099999999999998</v>
      </c>
      <c r="B76" s="24" t="s">
        <v>107</v>
      </c>
      <c r="C76" s="238" t="s">
        <v>1787</v>
      </c>
      <c r="D76" s="26">
        <v>82</v>
      </c>
      <c r="E76" s="27">
        <v>130</v>
      </c>
      <c r="F76" s="27">
        <v>130</v>
      </c>
      <c r="G76" s="27">
        <v>135</v>
      </c>
      <c r="H76" s="27">
        <v>158</v>
      </c>
      <c r="I76" s="27">
        <f t="shared" si="39"/>
        <v>158</v>
      </c>
      <c r="J76" s="27">
        <f t="shared" si="33"/>
        <v>158</v>
      </c>
      <c r="K76" s="27">
        <f t="shared" si="42"/>
        <v>158</v>
      </c>
      <c r="L76" s="27">
        <f t="shared" si="43"/>
        <v>173.8</v>
      </c>
      <c r="M76" s="27">
        <f t="shared" si="25"/>
        <v>173.8</v>
      </c>
      <c r="N76" s="27">
        <f t="shared" si="35"/>
        <v>173.8</v>
      </c>
      <c r="O76" s="27">
        <v>173.8</v>
      </c>
      <c r="P76" s="28">
        <f t="shared" si="41"/>
        <v>173.8</v>
      </c>
      <c r="Q76" s="29"/>
      <c r="R76" s="475"/>
      <c r="X76" s="155"/>
    </row>
    <row r="77" spans="1:24" ht="18">
      <c r="A77" s="945">
        <f t="shared" si="40"/>
        <v>12.109999999999998</v>
      </c>
      <c r="B77" s="24" t="s">
        <v>108</v>
      </c>
      <c r="C77" s="238" t="s">
        <v>1787</v>
      </c>
      <c r="D77" s="26">
        <v>190</v>
      </c>
      <c r="E77" s="27">
        <v>230</v>
      </c>
      <c r="F77" s="27">
        <v>230</v>
      </c>
      <c r="G77" s="27">
        <v>240</v>
      </c>
      <c r="H77" s="27">
        <v>278</v>
      </c>
      <c r="I77" s="27">
        <f t="shared" si="39"/>
        <v>278</v>
      </c>
      <c r="J77" s="27">
        <f t="shared" si="33"/>
        <v>278</v>
      </c>
      <c r="K77" s="27">
        <f t="shared" si="42"/>
        <v>278</v>
      </c>
      <c r="L77" s="27">
        <f t="shared" si="43"/>
        <v>305.8</v>
      </c>
      <c r="M77" s="27">
        <f t="shared" si="25"/>
        <v>305.8</v>
      </c>
      <c r="N77" s="27">
        <f t="shared" si="35"/>
        <v>305.8</v>
      </c>
      <c r="O77" s="27">
        <v>305.8</v>
      </c>
      <c r="P77" s="28">
        <f t="shared" si="41"/>
        <v>305.8</v>
      </c>
      <c r="Q77" s="29"/>
      <c r="R77" s="475"/>
      <c r="X77" s="155"/>
    </row>
    <row r="78" spans="1:24" ht="18">
      <c r="A78" s="945">
        <f t="shared" si="40"/>
        <v>12.119999999999997</v>
      </c>
      <c r="B78" s="24" t="s">
        <v>109</v>
      </c>
      <c r="C78" s="238" t="s">
        <v>1783</v>
      </c>
      <c r="D78" s="26">
        <v>120</v>
      </c>
      <c r="E78" s="27">
        <v>170</v>
      </c>
      <c r="F78" s="27">
        <v>170</v>
      </c>
      <c r="G78" s="27">
        <v>177</v>
      </c>
      <c r="H78" s="27">
        <v>284</v>
      </c>
      <c r="I78" s="27">
        <f t="shared" si="39"/>
        <v>284</v>
      </c>
      <c r="J78" s="27">
        <f t="shared" si="33"/>
        <v>284</v>
      </c>
      <c r="K78" s="27">
        <f t="shared" si="42"/>
        <v>284</v>
      </c>
      <c r="L78" s="27">
        <f t="shared" si="43"/>
        <v>312.40000000000003</v>
      </c>
      <c r="M78" s="27">
        <f t="shared" si="25"/>
        <v>312.40000000000003</v>
      </c>
      <c r="N78" s="27">
        <f t="shared" si="35"/>
        <v>312.40000000000003</v>
      </c>
      <c r="O78" s="27">
        <v>312.40000000000003</v>
      </c>
      <c r="P78" s="28">
        <f t="shared" si="41"/>
        <v>312.40000000000003</v>
      </c>
      <c r="Q78" s="29"/>
      <c r="R78" s="475"/>
      <c r="X78" s="155"/>
    </row>
    <row r="79" spans="1:24" ht="18">
      <c r="A79" s="945">
        <f t="shared" si="40"/>
        <v>12.129999999999997</v>
      </c>
      <c r="B79" s="24" t="s">
        <v>111</v>
      </c>
      <c r="C79" s="238" t="s">
        <v>1783</v>
      </c>
      <c r="D79" s="26">
        <v>155</v>
      </c>
      <c r="E79" s="27">
        <v>200</v>
      </c>
      <c r="F79" s="27">
        <v>200</v>
      </c>
      <c r="G79" s="27">
        <v>208</v>
      </c>
      <c r="H79" s="27">
        <v>175</v>
      </c>
      <c r="I79" s="27">
        <f t="shared" si="39"/>
        <v>175</v>
      </c>
      <c r="J79" s="27">
        <f t="shared" si="33"/>
        <v>175</v>
      </c>
      <c r="K79" s="27">
        <f t="shared" si="42"/>
        <v>175</v>
      </c>
      <c r="L79" s="27">
        <f t="shared" si="43"/>
        <v>192.50000000000003</v>
      </c>
      <c r="M79" s="27">
        <f t="shared" si="25"/>
        <v>192.50000000000003</v>
      </c>
      <c r="N79" s="27">
        <f t="shared" si="35"/>
        <v>192.50000000000003</v>
      </c>
      <c r="O79" s="27">
        <v>192.50000000000003</v>
      </c>
      <c r="P79" s="28">
        <f t="shared" si="41"/>
        <v>192.50000000000003</v>
      </c>
      <c r="Q79" s="29"/>
      <c r="R79" s="475"/>
      <c r="X79" s="155"/>
    </row>
    <row r="80" spans="1:24" ht="18">
      <c r="A80" s="945">
        <f t="shared" si="40"/>
        <v>12.139999999999997</v>
      </c>
      <c r="B80" s="24" t="s">
        <v>112</v>
      </c>
      <c r="C80" s="238" t="s">
        <v>1783</v>
      </c>
      <c r="D80" s="26">
        <v>64</v>
      </c>
      <c r="E80" s="27">
        <v>150</v>
      </c>
      <c r="F80" s="27">
        <v>150</v>
      </c>
      <c r="G80" s="27">
        <v>156</v>
      </c>
      <c r="H80" s="27">
        <v>139</v>
      </c>
      <c r="I80" s="27">
        <f t="shared" si="39"/>
        <v>139</v>
      </c>
      <c r="J80" s="27">
        <f t="shared" si="33"/>
        <v>139</v>
      </c>
      <c r="K80" s="27">
        <f t="shared" si="42"/>
        <v>139</v>
      </c>
      <c r="L80" s="27">
        <f t="shared" si="43"/>
        <v>152.9</v>
      </c>
      <c r="M80" s="27">
        <f t="shared" si="25"/>
        <v>152.9</v>
      </c>
      <c r="N80" s="27">
        <f t="shared" si="35"/>
        <v>152.9</v>
      </c>
      <c r="O80" s="27">
        <v>152.9</v>
      </c>
      <c r="P80" s="28">
        <f t="shared" si="41"/>
        <v>152.9</v>
      </c>
      <c r="Q80" s="29"/>
      <c r="R80" s="475"/>
      <c r="X80" s="155"/>
    </row>
    <row r="81" spans="1:25" ht="18">
      <c r="A81" s="945">
        <f t="shared" si="40"/>
        <v>12.149999999999997</v>
      </c>
      <c r="B81" s="24" t="s">
        <v>113</v>
      </c>
      <c r="C81" s="238" t="s">
        <v>1770</v>
      </c>
      <c r="D81" s="26">
        <v>75</v>
      </c>
      <c r="E81" s="27">
        <v>125</v>
      </c>
      <c r="F81" s="27">
        <v>125</v>
      </c>
      <c r="G81" s="27">
        <v>130</v>
      </c>
      <c r="H81" s="27">
        <v>168</v>
      </c>
      <c r="I81" s="27">
        <f t="shared" si="39"/>
        <v>168</v>
      </c>
      <c r="J81" s="27">
        <f t="shared" si="33"/>
        <v>168</v>
      </c>
      <c r="K81" s="27">
        <f t="shared" si="42"/>
        <v>168</v>
      </c>
      <c r="L81" s="27">
        <f t="shared" si="43"/>
        <v>184.8</v>
      </c>
      <c r="M81" s="27">
        <f t="shared" si="25"/>
        <v>184.8</v>
      </c>
      <c r="N81" s="27">
        <f t="shared" si="35"/>
        <v>184.8</v>
      </c>
      <c r="O81" s="27">
        <v>184.8</v>
      </c>
      <c r="P81" s="28">
        <f t="shared" si="41"/>
        <v>184.8</v>
      </c>
      <c r="Q81" s="29"/>
      <c r="R81" s="475"/>
      <c r="X81" s="155"/>
    </row>
    <row r="82" spans="1:25" ht="39" customHeight="1">
      <c r="A82" s="434">
        <v>13</v>
      </c>
      <c r="B82" s="388" t="s">
        <v>114</v>
      </c>
      <c r="C82" s="371" t="s">
        <v>1783</v>
      </c>
      <c r="D82" s="389"/>
      <c r="E82" s="390"/>
      <c r="F82" s="390"/>
      <c r="G82" s="390"/>
      <c r="H82" s="390">
        <v>2310</v>
      </c>
      <c r="I82" s="390">
        <f t="shared" si="39"/>
        <v>2310</v>
      </c>
      <c r="J82" s="373">
        <f t="shared" si="33"/>
        <v>2310</v>
      </c>
      <c r="K82" s="373">
        <f t="shared" si="42"/>
        <v>2310</v>
      </c>
      <c r="L82" s="373">
        <f t="shared" si="43"/>
        <v>2541</v>
      </c>
      <c r="M82" s="373">
        <f t="shared" si="25"/>
        <v>2541</v>
      </c>
      <c r="N82" s="373">
        <f t="shared" si="35"/>
        <v>2541</v>
      </c>
      <c r="O82" s="373">
        <v>2541</v>
      </c>
      <c r="P82" s="429">
        <f>O82</f>
        <v>2541</v>
      </c>
      <c r="Q82" s="431"/>
      <c r="R82" s="476"/>
      <c r="X82" s="155"/>
    </row>
    <row r="83" spans="1:25" ht="18">
      <c r="A83" s="434">
        <v>14</v>
      </c>
      <c r="B83" s="385" t="s">
        <v>116</v>
      </c>
      <c r="C83" s="371"/>
      <c r="D83" s="384"/>
      <c r="E83" s="373"/>
      <c r="F83" s="373"/>
      <c r="G83" s="373"/>
      <c r="H83" s="373"/>
      <c r="I83" s="373"/>
      <c r="J83" s="373"/>
      <c r="K83" s="373"/>
      <c r="L83" s="373"/>
      <c r="M83" s="373"/>
      <c r="N83" s="373"/>
      <c r="O83" s="373"/>
      <c r="P83" s="429"/>
      <c r="Q83" s="431"/>
      <c r="R83" s="476"/>
      <c r="X83" s="155"/>
    </row>
    <row r="84" spans="1:25" ht="18">
      <c r="A84" s="945">
        <f>A83+0.01</f>
        <v>14.01</v>
      </c>
      <c r="B84" s="24" t="s">
        <v>117</v>
      </c>
      <c r="C84" s="238" t="s">
        <v>1783</v>
      </c>
      <c r="D84" s="26">
        <v>325</v>
      </c>
      <c r="E84" s="27">
        <v>400</v>
      </c>
      <c r="F84" s="27">
        <v>400</v>
      </c>
      <c r="G84" s="27">
        <v>400</v>
      </c>
      <c r="H84" s="27">
        <v>824</v>
      </c>
      <c r="I84" s="27">
        <f>H84</f>
        <v>824</v>
      </c>
      <c r="J84" s="27">
        <f t="shared" ref="J84:J115" si="44">I84</f>
        <v>824</v>
      </c>
      <c r="K84" s="27">
        <f t="shared" si="42"/>
        <v>824</v>
      </c>
      <c r="L84" s="27">
        <f t="shared" si="43"/>
        <v>906.40000000000009</v>
      </c>
      <c r="M84" s="27">
        <f t="shared" si="25"/>
        <v>906.40000000000009</v>
      </c>
      <c r="N84" s="27">
        <f t="shared" si="35"/>
        <v>906.40000000000009</v>
      </c>
      <c r="O84" s="27">
        <v>906.40000000000009</v>
      </c>
      <c r="P84" s="28">
        <f>O84</f>
        <v>906.40000000000009</v>
      </c>
      <c r="Q84" s="29"/>
      <c r="R84" s="475"/>
      <c r="X84" s="155"/>
    </row>
    <row r="85" spans="1:25" ht="18">
      <c r="A85" s="945">
        <f t="shared" ref="A85:A86" si="45">A84+0.01</f>
        <v>14.02</v>
      </c>
      <c r="B85" s="24" t="s">
        <v>118</v>
      </c>
      <c r="C85" s="238" t="s">
        <v>1783</v>
      </c>
      <c r="D85" s="26">
        <v>350</v>
      </c>
      <c r="E85" s="27">
        <v>430</v>
      </c>
      <c r="F85" s="27">
        <v>500</v>
      </c>
      <c r="G85" s="27">
        <v>430</v>
      </c>
      <c r="H85" s="27">
        <v>935</v>
      </c>
      <c r="I85" s="27">
        <f>H85</f>
        <v>935</v>
      </c>
      <c r="J85" s="27">
        <f t="shared" si="44"/>
        <v>935</v>
      </c>
      <c r="K85" s="27">
        <f t="shared" si="42"/>
        <v>935</v>
      </c>
      <c r="L85" s="27">
        <f t="shared" si="43"/>
        <v>1028.5</v>
      </c>
      <c r="M85" s="27">
        <f t="shared" si="25"/>
        <v>1028.5</v>
      </c>
      <c r="N85" s="27">
        <f t="shared" si="35"/>
        <v>1028.5</v>
      </c>
      <c r="O85" s="27">
        <v>1028.5</v>
      </c>
      <c r="P85" s="28">
        <f t="shared" ref="P85:P86" si="46">O85</f>
        <v>1028.5</v>
      </c>
      <c r="Q85" s="29"/>
      <c r="R85" s="475"/>
      <c r="X85" s="155"/>
    </row>
    <row r="86" spans="1:25" ht="18">
      <c r="A86" s="945">
        <f t="shared" si="45"/>
        <v>14.03</v>
      </c>
      <c r="B86" s="24" t="s">
        <v>119</v>
      </c>
      <c r="C86" s="238" t="s">
        <v>1783</v>
      </c>
      <c r="D86" s="26">
        <v>500</v>
      </c>
      <c r="E86" s="27">
        <v>550</v>
      </c>
      <c r="F86" s="27">
        <v>550</v>
      </c>
      <c r="G86" s="27">
        <v>540</v>
      </c>
      <c r="H86" s="27">
        <v>1323</v>
      </c>
      <c r="I86" s="27">
        <f>H86</f>
        <v>1323</v>
      </c>
      <c r="J86" s="27">
        <f t="shared" si="44"/>
        <v>1323</v>
      </c>
      <c r="K86" s="27">
        <f t="shared" si="42"/>
        <v>1323</v>
      </c>
      <c r="L86" s="27">
        <f t="shared" si="43"/>
        <v>1455.3000000000002</v>
      </c>
      <c r="M86" s="27">
        <f t="shared" si="25"/>
        <v>1455.3000000000002</v>
      </c>
      <c r="N86" s="27">
        <f t="shared" si="35"/>
        <v>1455.3000000000002</v>
      </c>
      <c r="O86" s="27">
        <v>1455.3000000000002</v>
      </c>
      <c r="P86" s="28">
        <f t="shared" si="46"/>
        <v>1455.3000000000002</v>
      </c>
      <c r="Q86" s="29"/>
      <c r="R86" s="475"/>
      <c r="X86" s="155"/>
    </row>
    <row r="87" spans="1:25" ht="18">
      <c r="A87" s="947">
        <v>15</v>
      </c>
      <c r="B87" s="385" t="s">
        <v>120</v>
      </c>
      <c r="C87" s="371"/>
      <c r="D87" s="378"/>
      <c r="E87" s="377"/>
      <c r="F87" s="377"/>
      <c r="G87" s="377"/>
      <c r="H87" s="377"/>
      <c r="I87" s="377"/>
      <c r="J87" s="373"/>
      <c r="K87" s="373"/>
      <c r="L87" s="373"/>
      <c r="M87" s="373"/>
      <c r="N87" s="373"/>
      <c r="O87" s="373"/>
      <c r="P87" s="429"/>
      <c r="Q87" s="431"/>
      <c r="R87" s="476"/>
      <c r="X87" s="155"/>
    </row>
    <row r="88" spans="1:25" ht="18">
      <c r="A88" s="945">
        <f>A87+0.01</f>
        <v>15.01</v>
      </c>
      <c r="B88" s="35" t="s">
        <v>117</v>
      </c>
      <c r="C88" s="238" t="s">
        <v>1783</v>
      </c>
      <c r="D88" s="42">
        <v>525</v>
      </c>
      <c r="E88" s="43">
        <v>400</v>
      </c>
      <c r="F88" s="43">
        <v>400</v>
      </c>
      <c r="G88" s="43">
        <v>400</v>
      </c>
      <c r="H88" s="27">
        <v>714</v>
      </c>
      <c r="I88" s="27">
        <f>H88</f>
        <v>714</v>
      </c>
      <c r="J88" s="27">
        <f t="shared" si="44"/>
        <v>714</v>
      </c>
      <c r="K88" s="27">
        <f t="shared" si="42"/>
        <v>714</v>
      </c>
      <c r="L88" s="27">
        <f t="shared" si="43"/>
        <v>785.40000000000009</v>
      </c>
      <c r="M88" s="27">
        <f t="shared" si="25"/>
        <v>785.40000000000009</v>
      </c>
      <c r="N88" s="27">
        <f t="shared" si="35"/>
        <v>785.40000000000009</v>
      </c>
      <c r="O88" s="27">
        <v>785.40000000000009</v>
      </c>
      <c r="P88" s="28">
        <f>O88</f>
        <v>785.40000000000009</v>
      </c>
      <c r="Q88" s="29"/>
      <c r="R88" s="475"/>
      <c r="X88" s="155"/>
    </row>
    <row r="89" spans="1:25" ht="18">
      <c r="A89" s="945">
        <f>A88+0.01</f>
        <v>15.02</v>
      </c>
      <c r="B89" s="35" t="s">
        <v>118</v>
      </c>
      <c r="C89" s="238" t="s">
        <v>1783</v>
      </c>
      <c r="D89" s="42">
        <v>275</v>
      </c>
      <c r="E89" s="43">
        <v>425</v>
      </c>
      <c r="F89" s="43">
        <v>425</v>
      </c>
      <c r="G89" s="43">
        <v>425</v>
      </c>
      <c r="H89" s="27">
        <v>1066</v>
      </c>
      <c r="I89" s="27">
        <f>H89</f>
        <v>1066</v>
      </c>
      <c r="J89" s="27">
        <f t="shared" si="44"/>
        <v>1066</v>
      </c>
      <c r="K89" s="27">
        <f t="shared" si="42"/>
        <v>1066</v>
      </c>
      <c r="L89" s="27">
        <f t="shared" si="43"/>
        <v>1172.6000000000001</v>
      </c>
      <c r="M89" s="27">
        <f t="shared" si="25"/>
        <v>1172.6000000000001</v>
      </c>
      <c r="N89" s="27">
        <f t="shared" si="35"/>
        <v>1172.6000000000001</v>
      </c>
      <c r="O89" s="27">
        <v>1172.6000000000001</v>
      </c>
      <c r="P89" s="28">
        <f>O89</f>
        <v>1172.6000000000001</v>
      </c>
      <c r="Q89" s="29"/>
      <c r="R89" s="475"/>
      <c r="X89" s="155"/>
    </row>
    <row r="90" spans="1:25" ht="18">
      <c r="A90" s="947">
        <v>16</v>
      </c>
      <c r="B90" s="385" t="s">
        <v>121</v>
      </c>
      <c r="C90" s="371"/>
      <c r="D90" s="384"/>
      <c r="E90" s="373"/>
      <c r="F90" s="373"/>
      <c r="G90" s="373"/>
      <c r="H90" s="373"/>
      <c r="I90" s="373"/>
      <c r="J90" s="373"/>
      <c r="K90" s="373"/>
      <c r="L90" s="373"/>
      <c r="M90" s="373"/>
      <c r="N90" s="373"/>
      <c r="O90" s="373"/>
      <c r="P90" s="429"/>
      <c r="Q90" s="431"/>
      <c r="R90" s="476"/>
      <c r="X90" s="155"/>
    </row>
    <row r="91" spans="1:25" ht="18">
      <c r="A91" s="945">
        <f>A90+0.01</f>
        <v>16.010000000000002</v>
      </c>
      <c r="B91" s="35" t="s">
        <v>118</v>
      </c>
      <c r="C91" s="238" t="s">
        <v>1783</v>
      </c>
      <c r="D91" s="42"/>
      <c r="E91" s="43"/>
      <c r="F91" s="43"/>
      <c r="G91" s="43"/>
      <c r="H91" s="27">
        <v>1024</v>
      </c>
      <c r="I91" s="27">
        <f>H91</f>
        <v>1024</v>
      </c>
      <c r="J91" s="27">
        <f t="shared" si="44"/>
        <v>1024</v>
      </c>
      <c r="K91" s="27">
        <f t="shared" si="42"/>
        <v>1024</v>
      </c>
      <c r="L91" s="27">
        <f t="shared" si="43"/>
        <v>1126.4000000000001</v>
      </c>
      <c r="M91" s="27">
        <f t="shared" si="25"/>
        <v>1126.4000000000001</v>
      </c>
      <c r="N91" s="27">
        <f t="shared" si="35"/>
        <v>1126.4000000000001</v>
      </c>
      <c r="O91" s="27">
        <v>1126.4000000000001</v>
      </c>
      <c r="P91" s="28">
        <f>O91</f>
        <v>1126.4000000000001</v>
      </c>
      <c r="Q91" s="29"/>
      <c r="R91" s="475"/>
      <c r="T91" s="300" t="s">
        <v>2560</v>
      </c>
      <c r="U91" s="300"/>
      <c r="V91" s="300"/>
      <c r="X91" s="155"/>
    </row>
    <row r="92" spans="1:25" ht="25.5">
      <c r="A92" s="434">
        <v>17</v>
      </c>
      <c r="B92" s="380" t="s">
        <v>2034</v>
      </c>
      <c r="C92" s="371"/>
      <c r="D92" s="378"/>
      <c r="E92" s="377"/>
      <c r="F92" s="377"/>
      <c r="G92" s="377"/>
      <c r="H92" s="377"/>
      <c r="I92" s="377"/>
      <c r="J92" s="373"/>
      <c r="K92" s="373"/>
      <c r="L92" s="373"/>
      <c r="M92" s="373"/>
      <c r="N92" s="373"/>
      <c r="O92" s="373"/>
      <c r="P92" s="429"/>
      <c r="Q92" s="431"/>
      <c r="R92" s="942" t="s">
        <v>2352</v>
      </c>
      <c r="S92" s="453" t="s">
        <v>2353</v>
      </c>
      <c r="T92" s="310" t="s">
        <v>2561</v>
      </c>
      <c r="U92" s="453"/>
      <c r="V92" s="453"/>
      <c r="W92" s="453"/>
      <c r="X92" s="453" t="s">
        <v>2344</v>
      </c>
      <c r="Y92" s="875" t="s">
        <v>2345</v>
      </c>
    </row>
    <row r="93" spans="1:25" ht="18">
      <c r="A93" s="945">
        <f>A92+0.01</f>
        <v>17.010000000000002</v>
      </c>
      <c r="B93" s="35" t="s">
        <v>117</v>
      </c>
      <c r="C93" s="238" t="s">
        <v>1783</v>
      </c>
      <c r="D93" s="42">
        <v>100</v>
      </c>
      <c r="E93" s="43">
        <v>115</v>
      </c>
      <c r="F93" s="43">
        <v>128</v>
      </c>
      <c r="G93" s="43">
        <v>128</v>
      </c>
      <c r="H93" s="43">
        <v>315</v>
      </c>
      <c r="I93" s="43">
        <f t="shared" ref="I93:I99" si="47">H93</f>
        <v>315</v>
      </c>
      <c r="J93" s="27">
        <f t="shared" si="44"/>
        <v>315</v>
      </c>
      <c r="K93" s="27">
        <f t="shared" si="42"/>
        <v>315</v>
      </c>
      <c r="L93" s="27">
        <f t="shared" si="43"/>
        <v>346.5</v>
      </c>
      <c r="M93" s="27">
        <f t="shared" si="25"/>
        <v>346.5</v>
      </c>
      <c r="N93" s="27">
        <f t="shared" si="35"/>
        <v>346.5</v>
      </c>
      <c r="O93" s="27">
        <v>346.5</v>
      </c>
      <c r="P93" s="44">
        <f>TRUNC(T93,2)</f>
        <v>353.4</v>
      </c>
      <c r="Q93" s="1566"/>
      <c r="R93" s="1268">
        <f>P93/$X$93</f>
        <v>32.831934386967767</v>
      </c>
      <c r="S93" s="13">
        <v>21</v>
      </c>
      <c r="T93" s="177">
        <f>TRUNC(102%*O93/5,2)*5</f>
        <v>353.40000000000003</v>
      </c>
      <c r="X93" s="453">
        <v>10.7639104</v>
      </c>
      <c r="Y93" s="875">
        <v>1</v>
      </c>
    </row>
    <row r="94" spans="1:25" ht="18">
      <c r="A94" s="945">
        <f t="shared" ref="A94:A101" si="48">A93+0.01</f>
        <v>17.020000000000003</v>
      </c>
      <c r="B94" s="35" t="s">
        <v>118</v>
      </c>
      <c r="C94" s="238" t="s">
        <v>1783</v>
      </c>
      <c r="D94" s="42">
        <v>125</v>
      </c>
      <c r="E94" s="43">
        <v>130</v>
      </c>
      <c r="F94" s="43">
        <v>152</v>
      </c>
      <c r="G94" s="43">
        <v>152</v>
      </c>
      <c r="H94" s="43">
        <v>368</v>
      </c>
      <c r="I94" s="43">
        <f t="shared" si="47"/>
        <v>368</v>
      </c>
      <c r="J94" s="27">
        <f t="shared" si="44"/>
        <v>368</v>
      </c>
      <c r="K94" s="27">
        <f t="shared" si="42"/>
        <v>368</v>
      </c>
      <c r="L94" s="27">
        <f t="shared" si="43"/>
        <v>404.8</v>
      </c>
      <c r="M94" s="27">
        <f t="shared" si="25"/>
        <v>404.8</v>
      </c>
      <c r="N94" s="27">
        <f t="shared" si="35"/>
        <v>404.8</v>
      </c>
      <c r="O94" s="27">
        <v>404.8</v>
      </c>
      <c r="P94" s="44">
        <f>TRUNC(T94,2)</f>
        <v>412.85</v>
      </c>
      <c r="Q94" s="1566"/>
      <c r="R94" s="1268">
        <f t="shared" ref="R94:R100" si="49">P94/$X$93</f>
        <v>38.355020123541721</v>
      </c>
      <c r="S94" s="13">
        <v>29</v>
      </c>
      <c r="T94" s="177">
        <f t="shared" ref="T94:T108" si="50">TRUNC(102%*O94/5,2)*5</f>
        <v>412.84999999999997</v>
      </c>
      <c r="X94" s="155"/>
    </row>
    <row r="95" spans="1:25" ht="18">
      <c r="A95" s="945">
        <f t="shared" si="48"/>
        <v>17.030000000000005</v>
      </c>
      <c r="B95" s="35" t="s">
        <v>122</v>
      </c>
      <c r="C95" s="238" t="s">
        <v>1783</v>
      </c>
      <c r="D95" s="42">
        <v>170</v>
      </c>
      <c r="E95" s="43">
        <v>195</v>
      </c>
      <c r="F95" s="43">
        <v>223</v>
      </c>
      <c r="G95" s="43">
        <v>223</v>
      </c>
      <c r="H95" s="43">
        <v>394</v>
      </c>
      <c r="I95" s="43">
        <f t="shared" si="47"/>
        <v>394</v>
      </c>
      <c r="J95" s="27">
        <f t="shared" si="44"/>
        <v>394</v>
      </c>
      <c r="K95" s="27">
        <f t="shared" si="42"/>
        <v>394</v>
      </c>
      <c r="L95" s="27">
        <f t="shared" si="43"/>
        <v>433.40000000000003</v>
      </c>
      <c r="M95" s="27">
        <f t="shared" si="25"/>
        <v>433.40000000000003</v>
      </c>
      <c r="N95" s="27">
        <f t="shared" si="35"/>
        <v>433.40000000000003</v>
      </c>
      <c r="O95" s="27">
        <v>433.40000000000003</v>
      </c>
      <c r="P95" s="44">
        <f t="shared" ref="P95:P108" si="51">TRUNC(T95,2)</f>
        <v>442.05</v>
      </c>
      <c r="Q95" s="1566"/>
      <c r="R95" s="1268">
        <f t="shared" si="49"/>
        <v>41.067788895752976</v>
      </c>
      <c r="S95" s="13">
        <v>47</v>
      </c>
      <c r="T95" s="177">
        <f t="shared" si="50"/>
        <v>442.04999999999995</v>
      </c>
      <c r="X95" s="155"/>
    </row>
    <row r="96" spans="1:25" ht="18">
      <c r="A96" s="945">
        <f t="shared" si="48"/>
        <v>17.040000000000006</v>
      </c>
      <c r="B96" s="35" t="s">
        <v>123</v>
      </c>
      <c r="C96" s="238" t="s">
        <v>1783</v>
      </c>
      <c r="D96" s="42">
        <v>200</v>
      </c>
      <c r="E96" s="43"/>
      <c r="F96" s="43">
        <v>291</v>
      </c>
      <c r="G96" s="43">
        <v>291</v>
      </c>
      <c r="H96" s="43">
        <v>473</v>
      </c>
      <c r="I96" s="43">
        <f t="shared" si="47"/>
        <v>473</v>
      </c>
      <c r="J96" s="27">
        <f t="shared" si="44"/>
        <v>473</v>
      </c>
      <c r="K96" s="27">
        <f t="shared" si="42"/>
        <v>473</v>
      </c>
      <c r="L96" s="27">
        <f t="shared" si="43"/>
        <v>520.30000000000007</v>
      </c>
      <c r="M96" s="27">
        <f t="shared" si="25"/>
        <v>520.30000000000007</v>
      </c>
      <c r="N96" s="27">
        <f t="shared" si="35"/>
        <v>520.30000000000007</v>
      </c>
      <c r="O96" s="27">
        <v>520.30000000000007</v>
      </c>
      <c r="P96" s="44">
        <f t="shared" si="51"/>
        <v>530.70000000000005</v>
      </c>
      <c r="Q96" s="1566"/>
      <c r="R96" s="1268">
        <f t="shared" si="49"/>
        <v>49.303643404538192</v>
      </c>
      <c r="S96" s="13">
        <v>0</v>
      </c>
      <c r="T96" s="177">
        <f t="shared" si="50"/>
        <v>530.70000000000005</v>
      </c>
      <c r="X96" s="155"/>
    </row>
    <row r="97" spans="1:24" ht="18">
      <c r="A97" s="945">
        <f t="shared" si="48"/>
        <v>17.050000000000008</v>
      </c>
      <c r="B97" s="35" t="s">
        <v>124</v>
      </c>
      <c r="C97" s="238" t="s">
        <v>1783</v>
      </c>
      <c r="D97" s="42"/>
      <c r="E97" s="43">
        <v>375</v>
      </c>
      <c r="F97" s="43">
        <v>409</v>
      </c>
      <c r="G97" s="43">
        <v>409</v>
      </c>
      <c r="H97" s="43">
        <v>992</v>
      </c>
      <c r="I97" s="43">
        <f t="shared" si="47"/>
        <v>992</v>
      </c>
      <c r="J97" s="27">
        <f t="shared" si="44"/>
        <v>992</v>
      </c>
      <c r="K97" s="27">
        <f t="shared" si="42"/>
        <v>992</v>
      </c>
      <c r="L97" s="27">
        <f t="shared" si="43"/>
        <v>1091.2</v>
      </c>
      <c r="M97" s="27">
        <f t="shared" si="25"/>
        <v>1091.2</v>
      </c>
      <c r="N97" s="27">
        <f t="shared" si="35"/>
        <v>1091.2</v>
      </c>
      <c r="O97" s="27">
        <v>1091.2</v>
      </c>
      <c r="P97" s="44">
        <f t="shared" si="51"/>
        <v>1113</v>
      </c>
      <c r="Q97" s="1566"/>
      <c r="R97" s="1268">
        <f t="shared" si="49"/>
        <v>103.40108368051818</v>
      </c>
      <c r="S97" s="13">
        <v>106</v>
      </c>
      <c r="T97" s="177">
        <f t="shared" si="50"/>
        <v>1113</v>
      </c>
      <c r="X97" s="155"/>
    </row>
    <row r="98" spans="1:24" ht="18">
      <c r="A98" s="945">
        <f t="shared" si="48"/>
        <v>17.060000000000009</v>
      </c>
      <c r="B98" s="35" t="s">
        <v>2349</v>
      </c>
      <c r="C98" s="238" t="s">
        <v>1783</v>
      </c>
      <c r="D98" s="42">
        <v>230</v>
      </c>
      <c r="E98" s="43">
        <v>475</v>
      </c>
      <c r="F98" s="43">
        <v>500</v>
      </c>
      <c r="G98" s="43">
        <v>500</v>
      </c>
      <c r="H98" s="43">
        <v>1097</v>
      </c>
      <c r="I98" s="43">
        <f t="shared" si="47"/>
        <v>1097</v>
      </c>
      <c r="J98" s="27">
        <f t="shared" si="44"/>
        <v>1097</v>
      </c>
      <c r="K98" s="27">
        <f t="shared" si="42"/>
        <v>1097</v>
      </c>
      <c r="L98" s="27">
        <f t="shared" si="43"/>
        <v>1206.7</v>
      </c>
      <c r="M98" s="27">
        <f t="shared" si="25"/>
        <v>1206.7</v>
      </c>
      <c r="N98" s="27">
        <f t="shared" si="35"/>
        <v>1206.7</v>
      </c>
      <c r="O98" s="27">
        <v>1206.7</v>
      </c>
      <c r="P98" s="44">
        <f t="shared" si="51"/>
        <v>1230.8</v>
      </c>
      <c r="Q98" s="1566"/>
      <c r="R98" s="1268">
        <f t="shared" si="49"/>
        <v>114.34506180950744</v>
      </c>
      <c r="S98" s="13">
        <v>118</v>
      </c>
      <c r="T98" s="177">
        <f t="shared" si="50"/>
        <v>1230.8</v>
      </c>
      <c r="X98" s="155"/>
    </row>
    <row r="99" spans="1:24" ht="19.5">
      <c r="A99" s="945">
        <f t="shared" si="48"/>
        <v>17.070000000000011</v>
      </c>
      <c r="B99" s="35" t="s">
        <v>2354</v>
      </c>
      <c r="C99" s="238" t="s">
        <v>1783</v>
      </c>
      <c r="D99" s="42">
        <v>332</v>
      </c>
      <c r="E99" s="43">
        <v>500</v>
      </c>
      <c r="F99" s="43">
        <v>550</v>
      </c>
      <c r="G99" s="43">
        <v>550</v>
      </c>
      <c r="H99" s="43">
        <v>1575</v>
      </c>
      <c r="I99" s="43">
        <f t="shared" si="47"/>
        <v>1575</v>
      </c>
      <c r="J99" s="27">
        <f t="shared" si="44"/>
        <v>1575</v>
      </c>
      <c r="K99" s="27">
        <f t="shared" si="42"/>
        <v>1575</v>
      </c>
      <c r="L99" s="27">
        <f t="shared" si="43"/>
        <v>1732.5000000000002</v>
      </c>
      <c r="M99" s="27">
        <f t="shared" si="25"/>
        <v>1732.5000000000002</v>
      </c>
      <c r="N99" s="27">
        <f t="shared" si="35"/>
        <v>1732.5000000000002</v>
      </c>
      <c r="O99" s="27">
        <v>1732.5000000000002</v>
      </c>
      <c r="P99" s="44">
        <f t="shared" si="51"/>
        <v>1767.15</v>
      </c>
      <c r="Q99" s="1566"/>
      <c r="R99" s="1268">
        <f t="shared" si="49"/>
        <v>164.1736073908605</v>
      </c>
      <c r="S99" s="13">
        <v>0</v>
      </c>
      <c r="T99" s="177">
        <f t="shared" si="50"/>
        <v>1767.15</v>
      </c>
      <c r="X99" s="155"/>
    </row>
    <row r="100" spans="1:24" ht="19.5">
      <c r="A100" s="945">
        <f t="shared" si="48"/>
        <v>17.080000000000013</v>
      </c>
      <c r="B100" s="876" t="s">
        <v>2350</v>
      </c>
      <c r="C100" s="238" t="s">
        <v>1783</v>
      </c>
      <c r="D100" s="42"/>
      <c r="E100" s="43"/>
      <c r="F100" s="43"/>
      <c r="G100" s="43"/>
      <c r="H100" s="43"/>
      <c r="I100" s="43"/>
      <c r="J100" s="27"/>
      <c r="K100" s="27"/>
      <c r="L100" s="27"/>
      <c r="M100" s="877" t="s">
        <v>2160</v>
      </c>
      <c r="N100" s="877" t="s">
        <v>2160</v>
      </c>
      <c r="O100" s="27">
        <v>1550.0030976</v>
      </c>
      <c r="P100" s="44">
        <f t="shared" si="51"/>
        <v>1581</v>
      </c>
      <c r="Q100" s="1566"/>
      <c r="R100" s="1268">
        <f t="shared" si="49"/>
        <v>146.87970646801369</v>
      </c>
      <c r="S100" s="13">
        <v>148</v>
      </c>
      <c r="T100" s="177">
        <f t="shared" si="50"/>
        <v>1581</v>
      </c>
      <c r="X100" s="155"/>
    </row>
    <row r="101" spans="1:24" ht="19.5">
      <c r="A101" s="945">
        <f t="shared" si="48"/>
        <v>17.090000000000014</v>
      </c>
      <c r="B101" s="876" t="s">
        <v>2351</v>
      </c>
      <c r="C101" s="238" t="s">
        <v>1783</v>
      </c>
      <c r="D101" s="42"/>
      <c r="E101" s="43"/>
      <c r="F101" s="43"/>
      <c r="G101" s="43"/>
      <c r="H101" s="43"/>
      <c r="I101" s="43"/>
      <c r="J101" s="27"/>
      <c r="K101" s="27"/>
      <c r="L101" s="27"/>
      <c r="M101" s="877" t="s">
        <v>2160</v>
      </c>
      <c r="N101" s="877" t="s">
        <v>2160</v>
      </c>
      <c r="O101" s="27">
        <v>1808.3369471999999</v>
      </c>
      <c r="P101" s="44">
        <f t="shared" si="51"/>
        <v>1844.5</v>
      </c>
      <c r="Q101" s="1566"/>
      <c r="R101" s="1268">
        <f>P101/$X$93</f>
        <v>171.359657546016</v>
      </c>
      <c r="S101" s="13">
        <v>172</v>
      </c>
      <c r="T101" s="177">
        <f t="shared" si="50"/>
        <v>1844.5</v>
      </c>
      <c r="X101" s="155"/>
    </row>
    <row r="102" spans="1:24" ht="19.5">
      <c r="A102" s="434">
        <v>18</v>
      </c>
      <c r="B102" s="380" t="s">
        <v>2035</v>
      </c>
      <c r="C102" s="371"/>
      <c r="D102" s="378"/>
      <c r="E102" s="377"/>
      <c r="F102" s="377"/>
      <c r="G102" s="377"/>
      <c r="H102" s="377"/>
      <c r="I102" s="377"/>
      <c r="J102" s="373"/>
      <c r="K102" s="373"/>
      <c r="L102" s="373"/>
      <c r="M102" s="373"/>
      <c r="N102" s="373"/>
      <c r="O102" s="373"/>
      <c r="P102" s="429"/>
      <c r="Q102" s="431"/>
      <c r="R102" s="1268">
        <f t="shared" ref="R102:R108" si="52">P102/$X$93</f>
        <v>0</v>
      </c>
      <c r="T102" s="177">
        <f t="shared" si="50"/>
        <v>0</v>
      </c>
      <c r="X102" s="155"/>
    </row>
    <row r="103" spans="1:24" ht="18">
      <c r="A103" s="945">
        <f>A102+0.01</f>
        <v>18.010000000000002</v>
      </c>
      <c r="B103" s="35" t="s">
        <v>117</v>
      </c>
      <c r="C103" s="238" t="s">
        <v>1783</v>
      </c>
      <c r="D103" s="42">
        <v>137</v>
      </c>
      <c r="E103" s="43">
        <v>210</v>
      </c>
      <c r="F103" s="43">
        <v>230</v>
      </c>
      <c r="G103" s="43">
        <v>230</v>
      </c>
      <c r="H103" s="43">
        <v>242</v>
      </c>
      <c r="I103" s="43">
        <f t="shared" ref="I103:I108" si="53">H103</f>
        <v>242</v>
      </c>
      <c r="J103" s="27">
        <f t="shared" si="44"/>
        <v>242</v>
      </c>
      <c r="K103" s="27">
        <f t="shared" si="42"/>
        <v>242</v>
      </c>
      <c r="L103" s="27">
        <f t="shared" si="43"/>
        <v>266.20000000000005</v>
      </c>
      <c r="M103" s="27">
        <f t="shared" si="25"/>
        <v>266.20000000000005</v>
      </c>
      <c r="N103" s="27">
        <f t="shared" si="35"/>
        <v>266.20000000000005</v>
      </c>
      <c r="O103" s="27">
        <v>266.20000000000005</v>
      </c>
      <c r="P103" s="44">
        <f t="shared" si="51"/>
        <v>271.5</v>
      </c>
      <c r="Q103" s="1566"/>
      <c r="R103" s="1268">
        <f t="shared" si="52"/>
        <v>25.223175399156052</v>
      </c>
      <c r="T103" s="177">
        <f>TRUNC(102%*O103/5,2)*5</f>
        <v>271.5</v>
      </c>
      <c r="X103" s="155"/>
    </row>
    <row r="104" spans="1:24" ht="18">
      <c r="A104" s="945">
        <f t="shared" ref="A104:A108" si="54">A103+0.01</f>
        <v>18.020000000000003</v>
      </c>
      <c r="B104" s="35" t="s">
        <v>118</v>
      </c>
      <c r="C104" s="238" t="s">
        <v>1783</v>
      </c>
      <c r="D104" s="42">
        <v>185</v>
      </c>
      <c r="E104" s="43">
        <v>325</v>
      </c>
      <c r="F104" s="43">
        <v>330</v>
      </c>
      <c r="G104" s="43">
        <v>330</v>
      </c>
      <c r="H104" s="43">
        <v>352</v>
      </c>
      <c r="I104" s="43">
        <f t="shared" si="53"/>
        <v>352</v>
      </c>
      <c r="J104" s="27">
        <f t="shared" si="44"/>
        <v>352</v>
      </c>
      <c r="K104" s="27">
        <f t="shared" si="42"/>
        <v>352</v>
      </c>
      <c r="L104" s="27">
        <f t="shared" si="43"/>
        <v>387.20000000000005</v>
      </c>
      <c r="M104" s="27">
        <f t="shared" si="25"/>
        <v>387.20000000000005</v>
      </c>
      <c r="N104" s="27">
        <f t="shared" si="35"/>
        <v>387.20000000000005</v>
      </c>
      <c r="O104" s="27">
        <v>387.20000000000005</v>
      </c>
      <c r="P104" s="44">
        <f t="shared" si="51"/>
        <v>394.9</v>
      </c>
      <c r="Q104" s="1566"/>
      <c r="R104" s="1268">
        <f t="shared" si="52"/>
        <v>36.687410552952947</v>
      </c>
      <c r="S104" s="13">
        <v>43</v>
      </c>
      <c r="T104" s="177">
        <f t="shared" si="50"/>
        <v>394.90000000000003</v>
      </c>
      <c r="X104" s="155"/>
    </row>
    <row r="105" spans="1:24" ht="18">
      <c r="A105" s="945">
        <f t="shared" si="54"/>
        <v>18.030000000000005</v>
      </c>
      <c r="B105" s="35" t="s">
        <v>122</v>
      </c>
      <c r="C105" s="238" t="s">
        <v>1783</v>
      </c>
      <c r="D105" s="42">
        <v>230</v>
      </c>
      <c r="E105" s="43">
        <v>400</v>
      </c>
      <c r="F105" s="43">
        <v>450</v>
      </c>
      <c r="G105" s="43">
        <v>450</v>
      </c>
      <c r="H105" s="43">
        <v>908</v>
      </c>
      <c r="I105" s="43">
        <f t="shared" si="53"/>
        <v>908</v>
      </c>
      <c r="J105" s="27">
        <f t="shared" si="44"/>
        <v>908</v>
      </c>
      <c r="K105" s="27">
        <f t="shared" si="42"/>
        <v>908</v>
      </c>
      <c r="L105" s="27">
        <f t="shared" si="43"/>
        <v>998.80000000000007</v>
      </c>
      <c r="M105" s="27">
        <f t="shared" si="25"/>
        <v>998.80000000000007</v>
      </c>
      <c r="N105" s="27">
        <f t="shared" si="35"/>
        <v>998.80000000000007</v>
      </c>
      <c r="O105" s="27">
        <v>998.80000000000007</v>
      </c>
      <c r="P105" s="44">
        <f t="shared" si="51"/>
        <v>1018.75</v>
      </c>
      <c r="Q105" s="1566"/>
      <c r="R105" s="1268">
        <f t="shared" si="52"/>
        <v>94.64497214692534</v>
      </c>
      <c r="S105" s="13">
        <v>80</v>
      </c>
      <c r="T105" s="177">
        <f t="shared" si="50"/>
        <v>1018.75</v>
      </c>
      <c r="X105" s="155"/>
    </row>
    <row r="106" spans="1:24" ht="19.5">
      <c r="A106" s="945">
        <f t="shared" si="54"/>
        <v>18.040000000000006</v>
      </c>
      <c r="B106" s="35" t="s">
        <v>2347</v>
      </c>
      <c r="C106" s="238" t="s">
        <v>1783</v>
      </c>
      <c r="D106" s="42"/>
      <c r="E106" s="43"/>
      <c r="F106" s="43">
        <v>618</v>
      </c>
      <c r="G106" s="43">
        <v>618</v>
      </c>
      <c r="H106" s="43">
        <v>1302</v>
      </c>
      <c r="I106" s="43">
        <f t="shared" si="53"/>
        <v>1302</v>
      </c>
      <c r="J106" s="27">
        <f t="shared" si="44"/>
        <v>1302</v>
      </c>
      <c r="K106" s="27">
        <f t="shared" si="42"/>
        <v>1302</v>
      </c>
      <c r="L106" s="27">
        <f t="shared" si="43"/>
        <v>1432.2</v>
      </c>
      <c r="M106" s="27">
        <f t="shared" si="25"/>
        <v>1432.2</v>
      </c>
      <c r="N106" s="27">
        <f t="shared" si="35"/>
        <v>1432.2</v>
      </c>
      <c r="O106" s="27">
        <v>1432.2</v>
      </c>
      <c r="P106" s="44">
        <f t="shared" si="51"/>
        <v>1460.8</v>
      </c>
      <c r="Q106" s="1566"/>
      <c r="R106" s="1268">
        <f t="shared" si="52"/>
        <v>135.71276104267832</v>
      </c>
      <c r="S106" s="13">
        <v>144</v>
      </c>
      <c r="T106" s="177">
        <f t="shared" si="50"/>
        <v>1460.8000000000002</v>
      </c>
      <c r="X106" s="155"/>
    </row>
    <row r="107" spans="1:24" ht="34.5">
      <c r="A107" s="494">
        <f t="shared" si="54"/>
        <v>18.050000000000008</v>
      </c>
      <c r="B107" s="49" t="s">
        <v>2346</v>
      </c>
      <c r="C107" s="238" t="s">
        <v>1783</v>
      </c>
      <c r="D107" s="47"/>
      <c r="E107" s="48"/>
      <c r="F107" s="48">
        <v>1614</v>
      </c>
      <c r="G107" s="48">
        <v>1614</v>
      </c>
      <c r="H107" s="48">
        <v>2772</v>
      </c>
      <c r="I107" s="43">
        <f t="shared" si="53"/>
        <v>2772</v>
      </c>
      <c r="J107" s="27">
        <f t="shared" si="44"/>
        <v>2772</v>
      </c>
      <c r="K107" s="27">
        <f t="shared" si="42"/>
        <v>2772</v>
      </c>
      <c r="L107" s="27">
        <f t="shared" si="43"/>
        <v>3049.2000000000003</v>
      </c>
      <c r="M107" s="27">
        <f t="shared" ref="M107:M177" si="55">L107</f>
        <v>3049.2000000000003</v>
      </c>
      <c r="N107" s="27">
        <f t="shared" si="35"/>
        <v>3049.2000000000003</v>
      </c>
      <c r="O107" s="27">
        <v>3049.2000000000003</v>
      </c>
      <c r="P107" s="44">
        <f>TRUNC(T107,2)</f>
        <v>3110.15</v>
      </c>
      <c r="Q107" s="1566"/>
      <c r="R107" s="1268">
        <f t="shared" si="52"/>
        <v>288.94239030454952</v>
      </c>
      <c r="T107" s="177">
        <f>TRUNC(102%*O107/5,2)*5</f>
        <v>3110.1499999999996</v>
      </c>
      <c r="X107" s="155"/>
    </row>
    <row r="108" spans="1:24" ht="34.5">
      <c r="A108" s="494">
        <f t="shared" si="54"/>
        <v>18.060000000000009</v>
      </c>
      <c r="B108" s="49" t="s">
        <v>2348</v>
      </c>
      <c r="C108" s="238" t="s">
        <v>1783</v>
      </c>
      <c r="D108" s="47"/>
      <c r="E108" s="48"/>
      <c r="F108" s="48">
        <v>2044</v>
      </c>
      <c r="G108" s="48">
        <v>2044</v>
      </c>
      <c r="H108" s="48">
        <v>3098</v>
      </c>
      <c r="I108" s="48">
        <f t="shared" si="53"/>
        <v>3098</v>
      </c>
      <c r="J108" s="27">
        <f t="shared" si="44"/>
        <v>3098</v>
      </c>
      <c r="K108" s="27">
        <f t="shared" si="42"/>
        <v>3098</v>
      </c>
      <c r="L108" s="27">
        <f t="shared" si="43"/>
        <v>3407.8</v>
      </c>
      <c r="M108" s="27">
        <f t="shared" si="55"/>
        <v>3407.8</v>
      </c>
      <c r="N108" s="27">
        <f t="shared" si="35"/>
        <v>3407.8</v>
      </c>
      <c r="O108" s="27">
        <v>3407.8</v>
      </c>
      <c r="P108" s="44">
        <f t="shared" si="51"/>
        <v>3475.95</v>
      </c>
      <c r="Q108" s="1566"/>
      <c r="R108" s="1268">
        <f t="shared" si="52"/>
        <v>322.92632238930565</v>
      </c>
      <c r="T108" s="177">
        <f t="shared" si="50"/>
        <v>3475.9500000000003</v>
      </c>
      <c r="X108" s="155"/>
    </row>
    <row r="109" spans="1:24" ht="19.5">
      <c r="A109" s="439">
        <v>19</v>
      </c>
      <c r="B109" s="380" t="s">
        <v>2036</v>
      </c>
      <c r="C109" s="371"/>
      <c r="D109" s="378">
        <v>710</v>
      </c>
      <c r="E109" s="377"/>
      <c r="F109" s="377"/>
      <c r="G109" s="377"/>
      <c r="H109" s="377"/>
      <c r="I109" s="377"/>
      <c r="J109" s="373"/>
      <c r="K109" s="373"/>
      <c r="L109" s="373"/>
      <c r="M109" s="373"/>
      <c r="N109" s="373"/>
      <c r="O109" s="373"/>
      <c r="P109" s="429"/>
      <c r="Q109" s="431"/>
      <c r="R109" s="476"/>
      <c r="X109" s="155"/>
    </row>
    <row r="110" spans="1:24" ht="21.6" customHeight="1">
      <c r="A110" s="945">
        <f>A109+0.01</f>
        <v>19.010000000000002</v>
      </c>
      <c r="B110" s="50" t="s">
        <v>125</v>
      </c>
      <c r="C110" s="238" t="s">
        <v>1787</v>
      </c>
      <c r="D110" s="26">
        <v>14.5</v>
      </c>
      <c r="E110" s="27"/>
      <c r="F110" s="27">
        <v>30</v>
      </c>
      <c r="G110" s="27">
        <v>30</v>
      </c>
      <c r="H110" s="43">
        <v>51</v>
      </c>
      <c r="I110" s="43">
        <f>H110</f>
        <v>51</v>
      </c>
      <c r="J110" s="27">
        <f t="shared" si="44"/>
        <v>51</v>
      </c>
      <c r="K110" s="27">
        <f t="shared" si="42"/>
        <v>51</v>
      </c>
      <c r="L110" s="27">
        <f t="shared" si="43"/>
        <v>56.1</v>
      </c>
      <c r="M110" s="27">
        <f t="shared" si="55"/>
        <v>56.1</v>
      </c>
      <c r="N110" s="27">
        <f t="shared" si="35"/>
        <v>56.1</v>
      </c>
      <c r="O110" s="27">
        <v>56.1</v>
      </c>
      <c r="P110" s="28">
        <f>O110</f>
        <v>56.1</v>
      </c>
      <c r="Q110" s="29"/>
      <c r="R110" s="1217" t="s">
        <v>2562</v>
      </c>
      <c r="X110" s="155"/>
    </row>
    <row r="111" spans="1:24" ht="21.6" customHeight="1">
      <c r="A111" s="945">
        <f t="shared" ref="A111:A114" si="56">A110+0.01</f>
        <v>19.020000000000003</v>
      </c>
      <c r="B111" s="50" t="s">
        <v>126</v>
      </c>
      <c r="C111" s="238" t="s">
        <v>1787</v>
      </c>
      <c r="D111" s="26">
        <v>14.5</v>
      </c>
      <c r="E111" s="27"/>
      <c r="F111" s="27">
        <v>30</v>
      </c>
      <c r="G111" s="27">
        <v>30</v>
      </c>
      <c r="H111" s="43">
        <v>38</v>
      </c>
      <c r="I111" s="43">
        <f>H111</f>
        <v>38</v>
      </c>
      <c r="J111" s="27">
        <f t="shared" si="44"/>
        <v>38</v>
      </c>
      <c r="K111" s="27">
        <f t="shared" si="42"/>
        <v>38</v>
      </c>
      <c r="L111" s="27">
        <f t="shared" si="43"/>
        <v>41.800000000000004</v>
      </c>
      <c r="M111" s="27">
        <f t="shared" si="55"/>
        <v>41.800000000000004</v>
      </c>
      <c r="N111" s="27">
        <f t="shared" si="35"/>
        <v>41.800000000000004</v>
      </c>
      <c r="O111" s="27">
        <v>41.800000000000004</v>
      </c>
      <c r="P111" s="28">
        <f t="shared" ref="P111:P114" si="57">O111</f>
        <v>41.800000000000004</v>
      </c>
      <c r="Q111" s="29"/>
      <c r="R111" s="475"/>
      <c r="X111" s="155"/>
    </row>
    <row r="112" spans="1:24" ht="21.6" customHeight="1">
      <c r="A112" s="945">
        <f t="shared" si="56"/>
        <v>19.030000000000005</v>
      </c>
      <c r="B112" s="50" t="s">
        <v>127</v>
      </c>
      <c r="C112" s="238" t="s">
        <v>1787</v>
      </c>
      <c r="D112" s="26">
        <v>14.5</v>
      </c>
      <c r="E112" s="27">
        <v>35</v>
      </c>
      <c r="F112" s="27">
        <v>40</v>
      </c>
      <c r="G112" s="27">
        <v>40</v>
      </c>
      <c r="H112" s="43">
        <v>45</v>
      </c>
      <c r="I112" s="43">
        <f>H112</f>
        <v>45</v>
      </c>
      <c r="J112" s="27">
        <f t="shared" si="44"/>
        <v>45</v>
      </c>
      <c r="K112" s="27">
        <f t="shared" si="42"/>
        <v>45</v>
      </c>
      <c r="L112" s="27">
        <f t="shared" si="43"/>
        <v>49.500000000000007</v>
      </c>
      <c r="M112" s="27">
        <f t="shared" si="55"/>
        <v>49.500000000000007</v>
      </c>
      <c r="N112" s="27">
        <f t="shared" si="35"/>
        <v>49.500000000000007</v>
      </c>
      <c r="O112" s="27">
        <v>49.500000000000007</v>
      </c>
      <c r="P112" s="28">
        <f t="shared" si="57"/>
        <v>49.500000000000007</v>
      </c>
      <c r="Q112" s="29"/>
      <c r="R112" s="475"/>
      <c r="X112" s="155"/>
    </row>
    <row r="113" spans="1:24" ht="21.6" customHeight="1">
      <c r="A113" s="945">
        <f t="shared" si="56"/>
        <v>19.040000000000006</v>
      </c>
      <c r="B113" s="50" t="s">
        <v>128</v>
      </c>
      <c r="C113" s="238" t="s">
        <v>1787</v>
      </c>
      <c r="D113" s="26"/>
      <c r="E113" s="27"/>
      <c r="F113" s="27"/>
      <c r="G113" s="27"/>
      <c r="H113" s="43">
        <v>28</v>
      </c>
      <c r="I113" s="43">
        <f>H113</f>
        <v>28</v>
      </c>
      <c r="J113" s="27">
        <f t="shared" si="44"/>
        <v>28</v>
      </c>
      <c r="K113" s="27">
        <f t="shared" si="42"/>
        <v>28</v>
      </c>
      <c r="L113" s="27">
        <f t="shared" si="43"/>
        <v>30.800000000000004</v>
      </c>
      <c r="M113" s="27">
        <f t="shared" si="55"/>
        <v>30.800000000000004</v>
      </c>
      <c r="N113" s="27">
        <f t="shared" si="35"/>
        <v>30.800000000000004</v>
      </c>
      <c r="O113" s="27">
        <v>30.800000000000004</v>
      </c>
      <c r="P113" s="28">
        <f t="shared" si="57"/>
        <v>30.800000000000004</v>
      </c>
      <c r="Q113" s="29"/>
      <c r="R113" s="475"/>
      <c r="X113" s="155"/>
    </row>
    <row r="114" spans="1:24" ht="21.6" customHeight="1">
      <c r="A114" s="945">
        <f t="shared" si="56"/>
        <v>19.050000000000008</v>
      </c>
      <c r="B114" s="50" t="s">
        <v>129</v>
      </c>
      <c r="C114" s="238" t="s">
        <v>1787</v>
      </c>
      <c r="D114" s="26"/>
      <c r="E114" s="27"/>
      <c r="F114" s="27"/>
      <c r="G114" s="27"/>
      <c r="H114" s="43">
        <v>17</v>
      </c>
      <c r="I114" s="43">
        <f>H114</f>
        <v>17</v>
      </c>
      <c r="J114" s="27">
        <f t="shared" si="44"/>
        <v>17</v>
      </c>
      <c r="K114" s="27">
        <f t="shared" si="42"/>
        <v>17</v>
      </c>
      <c r="L114" s="27">
        <f t="shared" si="43"/>
        <v>18.700000000000003</v>
      </c>
      <c r="M114" s="27">
        <f t="shared" si="55"/>
        <v>18.700000000000003</v>
      </c>
      <c r="N114" s="27">
        <f t="shared" si="35"/>
        <v>18.700000000000003</v>
      </c>
      <c r="O114" s="27">
        <v>18.700000000000003</v>
      </c>
      <c r="P114" s="28">
        <f t="shared" si="57"/>
        <v>18.700000000000003</v>
      </c>
      <c r="Q114" s="29"/>
      <c r="R114" s="475"/>
      <c r="X114" s="155"/>
    </row>
    <row r="115" spans="1:24" ht="19.5">
      <c r="A115" s="434">
        <v>20</v>
      </c>
      <c r="B115" s="380" t="s">
        <v>2037</v>
      </c>
      <c r="C115" s="371"/>
      <c r="D115" s="384"/>
      <c r="E115" s="373"/>
      <c r="F115" s="373"/>
      <c r="G115" s="373"/>
      <c r="H115" s="373"/>
      <c r="I115" s="373"/>
      <c r="J115" s="373">
        <f t="shared" si="44"/>
        <v>0</v>
      </c>
      <c r="K115" s="373">
        <f t="shared" si="42"/>
        <v>0</v>
      </c>
      <c r="L115" s="373"/>
      <c r="M115" s="373"/>
      <c r="N115" s="373"/>
      <c r="O115" s="373"/>
      <c r="P115" s="429"/>
      <c r="Q115" s="431"/>
      <c r="R115" s="476"/>
      <c r="X115" s="155"/>
    </row>
    <row r="116" spans="1:24" s="333" customFormat="1" ht="18">
      <c r="A116" s="494">
        <f>A115+0.01</f>
        <v>20.010000000000002</v>
      </c>
      <c r="B116" s="173" t="s">
        <v>130</v>
      </c>
      <c r="C116" s="281" t="s">
        <v>1787</v>
      </c>
      <c r="D116" s="38"/>
      <c r="E116" s="39"/>
      <c r="F116" s="39"/>
      <c r="G116" s="39"/>
      <c r="H116" s="48">
        <v>22</v>
      </c>
      <c r="I116" s="48">
        <f t="shared" ref="I116:I127" si="58">H116</f>
        <v>22</v>
      </c>
      <c r="J116" s="39">
        <v>24</v>
      </c>
      <c r="K116" s="39">
        <f>J116+1</f>
        <v>25</v>
      </c>
      <c r="L116" s="39">
        <f t="shared" si="43"/>
        <v>27.500000000000004</v>
      </c>
      <c r="M116" s="39">
        <f t="shared" si="55"/>
        <v>27.500000000000004</v>
      </c>
      <c r="N116" s="39">
        <f t="shared" si="35"/>
        <v>27.500000000000004</v>
      </c>
      <c r="O116" s="39">
        <v>27.500000000000004</v>
      </c>
      <c r="P116" s="40">
        <f>O116</f>
        <v>27.500000000000004</v>
      </c>
      <c r="Q116" s="163"/>
      <c r="R116" s="477"/>
      <c r="X116" s="496"/>
    </row>
    <row r="117" spans="1:24" s="333" customFormat="1" ht="18">
      <c r="A117" s="494">
        <f t="shared" ref="A117:A127" si="59">A116+0.01</f>
        <v>20.020000000000003</v>
      </c>
      <c r="B117" s="173" t="s">
        <v>131</v>
      </c>
      <c r="C117" s="281" t="s">
        <v>1787</v>
      </c>
      <c r="D117" s="38"/>
      <c r="E117" s="39"/>
      <c r="F117" s="39"/>
      <c r="G117" s="39"/>
      <c r="H117" s="48">
        <v>25</v>
      </c>
      <c r="I117" s="48">
        <f t="shared" si="58"/>
        <v>25</v>
      </c>
      <c r="J117" s="39">
        <v>27</v>
      </c>
      <c r="K117" s="39">
        <f t="shared" ref="K117:K127" si="60">J117+1</f>
        <v>28</v>
      </c>
      <c r="L117" s="39">
        <f t="shared" si="43"/>
        <v>30.800000000000004</v>
      </c>
      <c r="M117" s="39">
        <f t="shared" si="55"/>
        <v>30.800000000000004</v>
      </c>
      <c r="N117" s="39">
        <f t="shared" si="35"/>
        <v>30.800000000000004</v>
      </c>
      <c r="O117" s="39">
        <v>30.800000000000004</v>
      </c>
      <c r="P117" s="40">
        <f t="shared" ref="P117:P127" si="61">O117</f>
        <v>30.800000000000004</v>
      </c>
      <c r="Q117" s="163"/>
      <c r="R117" s="477"/>
      <c r="X117" s="496"/>
    </row>
    <row r="118" spans="1:24" s="333" customFormat="1" ht="18">
      <c r="A118" s="494">
        <f t="shared" si="59"/>
        <v>20.030000000000005</v>
      </c>
      <c r="B118" s="173" t="s">
        <v>132</v>
      </c>
      <c r="C118" s="281" t="s">
        <v>1787</v>
      </c>
      <c r="D118" s="38"/>
      <c r="E118" s="39"/>
      <c r="F118" s="39"/>
      <c r="G118" s="39"/>
      <c r="H118" s="48">
        <v>19</v>
      </c>
      <c r="I118" s="48">
        <f t="shared" si="58"/>
        <v>19</v>
      </c>
      <c r="J118" s="39">
        <v>20</v>
      </c>
      <c r="K118" s="39">
        <f t="shared" si="60"/>
        <v>21</v>
      </c>
      <c r="L118" s="39">
        <f t="shared" si="43"/>
        <v>23.1</v>
      </c>
      <c r="M118" s="39">
        <f t="shared" si="55"/>
        <v>23.1</v>
      </c>
      <c r="N118" s="39">
        <f t="shared" si="35"/>
        <v>23.1</v>
      </c>
      <c r="O118" s="39">
        <v>23.1</v>
      </c>
      <c r="P118" s="40">
        <f t="shared" si="61"/>
        <v>23.1</v>
      </c>
      <c r="Q118" s="163"/>
      <c r="R118" s="477"/>
      <c r="X118" s="496"/>
    </row>
    <row r="119" spans="1:24" s="333" customFormat="1" ht="18">
      <c r="A119" s="494">
        <f t="shared" si="59"/>
        <v>20.040000000000006</v>
      </c>
      <c r="B119" s="173" t="s">
        <v>133</v>
      </c>
      <c r="C119" s="281" t="s">
        <v>1787</v>
      </c>
      <c r="D119" s="38"/>
      <c r="E119" s="39"/>
      <c r="F119" s="39"/>
      <c r="G119" s="39"/>
      <c r="H119" s="48">
        <v>21</v>
      </c>
      <c r="I119" s="48">
        <f t="shared" si="58"/>
        <v>21</v>
      </c>
      <c r="J119" s="39">
        <v>22</v>
      </c>
      <c r="K119" s="39">
        <f t="shared" si="60"/>
        <v>23</v>
      </c>
      <c r="L119" s="39">
        <f t="shared" si="43"/>
        <v>25.3</v>
      </c>
      <c r="M119" s="39">
        <f t="shared" si="55"/>
        <v>25.3</v>
      </c>
      <c r="N119" s="39">
        <f t="shared" si="35"/>
        <v>25.3</v>
      </c>
      <c r="O119" s="39">
        <v>25.3</v>
      </c>
      <c r="P119" s="40">
        <f t="shared" si="61"/>
        <v>25.3</v>
      </c>
      <c r="Q119" s="163"/>
      <c r="R119" s="477"/>
      <c r="X119" s="496"/>
    </row>
    <row r="120" spans="1:24" s="333" customFormat="1" ht="18">
      <c r="A120" s="494">
        <f t="shared" si="59"/>
        <v>20.050000000000008</v>
      </c>
      <c r="B120" s="173" t="s">
        <v>134</v>
      </c>
      <c r="C120" s="281" t="s">
        <v>1787</v>
      </c>
      <c r="D120" s="38"/>
      <c r="E120" s="39"/>
      <c r="F120" s="39"/>
      <c r="G120" s="39"/>
      <c r="H120" s="48">
        <v>24</v>
      </c>
      <c r="I120" s="48">
        <f t="shared" si="58"/>
        <v>24</v>
      </c>
      <c r="J120" s="39">
        <v>25</v>
      </c>
      <c r="K120" s="39">
        <f t="shared" si="60"/>
        <v>26</v>
      </c>
      <c r="L120" s="39">
        <f t="shared" si="43"/>
        <v>28.6</v>
      </c>
      <c r="M120" s="39">
        <f t="shared" si="55"/>
        <v>28.6</v>
      </c>
      <c r="N120" s="39">
        <f t="shared" si="35"/>
        <v>28.6</v>
      </c>
      <c r="O120" s="39">
        <v>28.6</v>
      </c>
      <c r="P120" s="40">
        <f t="shared" si="61"/>
        <v>28.6</v>
      </c>
      <c r="Q120" s="163"/>
      <c r="R120" s="477"/>
      <c r="X120" s="496"/>
    </row>
    <row r="121" spans="1:24" s="333" customFormat="1" ht="18">
      <c r="A121" s="494">
        <f t="shared" si="59"/>
        <v>20.060000000000009</v>
      </c>
      <c r="B121" s="173" t="s">
        <v>135</v>
      </c>
      <c r="C121" s="281" t="s">
        <v>1787</v>
      </c>
      <c r="D121" s="38"/>
      <c r="E121" s="39"/>
      <c r="F121" s="39"/>
      <c r="G121" s="39"/>
      <c r="H121" s="48">
        <v>26</v>
      </c>
      <c r="I121" s="48">
        <f t="shared" si="58"/>
        <v>26</v>
      </c>
      <c r="J121" s="39">
        <v>27</v>
      </c>
      <c r="K121" s="39">
        <f t="shared" si="60"/>
        <v>28</v>
      </c>
      <c r="L121" s="39">
        <f t="shared" si="43"/>
        <v>30.800000000000004</v>
      </c>
      <c r="M121" s="39">
        <f t="shared" si="55"/>
        <v>30.800000000000004</v>
      </c>
      <c r="N121" s="39">
        <f t="shared" si="35"/>
        <v>30.800000000000004</v>
      </c>
      <c r="O121" s="39">
        <v>30.800000000000004</v>
      </c>
      <c r="P121" s="40">
        <f t="shared" si="61"/>
        <v>30.800000000000004</v>
      </c>
      <c r="Q121" s="163"/>
      <c r="R121" s="477"/>
      <c r="X121" s="496"/>
    </row>
    <row r="122" spans="1:24" s="333" customFormat="1" ht="18">
      <c r="A122" s="494">
        <f t="shared" si="59"/>
        <v>20.070000000000011</v>
      </c>
      <c r="B122" s="173" t="s">
        <v>136</v>
      </c>
      <c r="C122" s="281" t="s">
        <v>1787</v>
      </c>
      <c r="D122" s="38"/>
      <c r="E122" s="39"/>
      <c r="F122" s="39"/>
      <c r="G122" s="39"/>
      <c r="H122" s="48">
        <v>20</v>
      </c>
      <c r="I122" s="48">
        <f t="shared" si="58"/>
        <v>20</v>
      </c>
      <c r="J122" s="39">
        <v>21</v>
      </c>
      <c r="K122" s="39">
        <f t="shared" si="60"/>
        <v>22</v>
      </c>
      <c r="L122" s="39">
        <f t="shared" si="43"/>
        <v>24.200000000000003</v>
      </c>
      <c r="M122" s="39">
        <f t="shared" si="55"/>
        <v>24.200000000000003</v>
      </c>
      <c r="N122" s="39">
        <f t="shared" si="35"/>
        <v>24.200000000000003</v>
      </c>
      <c r="O122" s="39">
        <v>24.200000000000003</v>
      </c>
      <c r="P122" s="40">
        <f t="shared" si="61"/>
        <v>24.200000000000003</v>
      </c>
      <c r="Q122" s="163"/>
      <c r="R122" s="477"/>
      <c r="X122" s="496"/>
    </row>
    <row r="123" spans="1:24" s="333" customFormat="1" ht="18">
      <c r="A123" s="494">
        <f t="shared" si="59"/>
        <v>20.080000000000013</v>
      </c>
      <c r="B123" s="173" t="s">
        <v>137</v>
      </c>
      <c r="C123" s="281" t="s">
        <v>1787</v>
      </c>
      <c r="D123" s="38"/>
      <c r="E123" s="39"/>
      <c r="F123" s="39"/>
      <c r="G123" s="39"/>
      <c r="H123" s="48">
        <v>22</v>
      </c>
      <c r="I123" s="48">
        <f t="shared" si="58"/>
        <v>22</v>
      </c>
      <c r="J123" s="39">
        <v>23</v>
      </c>
      <c r="K123" s="39">
        <f t="shared" si="60"/>
        <v>24</v>
      </c>
      <c r="L123" s="39">
        <f t="shared" si="43"/>
        <v>26.400000000000002</v>
      </c>
      <c r="M123" s="39">
        <f t="shared" si="55"/>
        <v>26.400000000000002</v>
      </c>
      <c r="N123" s="39">
        <f t="shared" si="35"/>
        <v>26.400000000000002</v>
      </c>
      <c r="O123" s="39">
        <v>26.400000000000002</v>
      </c>
      <c r="P123" s="40">
        <f t="shared" si="61"/>
        <v>26.400000000000002</v>
      </c>
      <c r="Q123" s="163"/>
      <c r="R123" s="477"/>
      <c r="X123" s="496"/>
    </row>
    <row r="124" spans="1:24" s="333" customFormat="1" ht="18">
      <c r="A124" s="494">
        <f>A123+0.01</f>
        <v>20.090000000000014</v>
      </c>
      <c r="B124" s="173" t="s">
        <v>138</v>
      </c>
      <c r="C124" s="281" t="s">
        <v>1787</v>
      </c>
      <c r="D124" s="38">
        <v>11.5</v>
      </c>
      <c r="E124" s="39">
        <v>25</v>
      </c>
      <c r="F124" s="39">
        <v>30</v>
      </c>
      <c r="G124" s="39">
        <v>30</v>
      </c>
      <c r="H124" s="48">
        <v>13</v>
      </c>
      <c r="I124" s="48">
        <f t="shared" si="58"/>
        <v>13</v>
      </c>
      <c r="J124" s="39">
        <v>14</v>
      </c>
      <c r="K124" s="39">
        <f t="shared" si="60"/>
        <v>15</v>
      </c>
      <c r="L124" s="39">
        <f t="shared" si="43"/>
        <v>16.5</v>
      </c>
      <c r="M124" s="39">
        <f t="shared" si="55"/>
        <v>16.5</v>
      </c>
      <c r="N124" s="39">
        <f t="shared" ref="N124:N186" si="62">M124</f>
        <v>16.5</v>
      </c>
      <c r="O124" s="39">
        <v>16.5</v>
      </c>
      <c r="P124" s="40">
        <f t="shared" si="61"/>
        <v>16.5</v>
      </c>
      <c r="Q124" s="163"/>
      <c r="R124" s="477"/>
      <c r="X124" s="496"/>
    </row>
    <row r="125" spans="1:24" s="333" customFormat="1" ht="18">
      <c r="A125" s="494">
        <f t="shared" si="59"/>
        <v>20.100000000000016</v>
      </c>
      <c r="B125" s="173" t="s">
        <v>139</v>
      </c>
      <c r="C125" s="281" t="s">
        <v>1787</v>
      </c>
      <c r="D125" s="38">
        <v>11.5</v>
      </c>
      <c r="E125" s="39">
        <v>25</v>
      </c>
      <c r="F125" s="39">
        <v>30</v>
      </c>
      <c r="G125" s="39">
        <v>30</v>
      </c>
      <c r="H125" s="48">
        <v>20</v>
      </c>
      <c r="I125" s="48">
        <f t="shared" si="58"/>
        <v>20</v>
      </c>
      <c r="J125" s="39">
        <v>21</v>
      </c>
      <c r="K125" s="39">
        <f t="shared" si="60"/>
        <v>22</v>
      </c>
      <c r="L125" s="39">
        <f t="shared" si="43"/>
        <v>24.200000000000003</v>
      </c>
      <c r="M125" s="39">
        <f t="shared" si="55"/>
        <v>24.200000000000003</v>
      </c>
      <c r="N125" s="39">
        <f t="shared" si="62"/>
        <v>24.200000000000003</v>
      </c>
      <c r="O125" s="39">
        <v>24.200000000000003</v>
      </c>
      <c r="P125" s="40">
        <f t="shared" si="61"/>
        <v>24.200000000000003</v>
      </c>
      <c r="Q125" s="163"/>
      <c r="R125" s="477"/>
      <c r="X125" s="496"/>
    </row>
    <row r="126" spans="1:24" s="333" customFormat="1" ht="18">
      <c r="A126" s="494">
        <f t="shared" si="59"/>
        <v>20.110000000000017</v>
      </c>
      <c r="B126" s="173" t="s">
        <v>140</v>
      </c>
      <c r="C126" s="281" t="s">
        <v>1787</v>
      </c>
      <c r="D126" s="38">
        <v>11.5</v>
      </c>
      <c r="E126" s="39">
        <v>25</v>
      </c>
      <c r="F126" s="39">
        <v>30</v>
      </c>
      <c r="G126" s="39">
        <v>30</v>
      </c>
      <c r="H126" s="48">
        <v>26</v>
      </c>
      <c r="I126" s="48">
        <f t="shared" si="58"/>
        <v>26</v>
      </c>
      <c r="J126" s="39">
        <v>27</v>
      </c>
      <c r="K126" s="39">
        <f t="shared" si="60"/>
        <v>28</v>
      </c>
      <c r="L126" s="39">
        <f t="shared" si="43"/>
        <v>30.800000000000004</v>
      </c>
      <c r="M126" s="39">
        <f t="shared" si="55"/>
        <v>30.800000000000004</v>
      </c>
      <c r="N126" s="39">
        <f t="shared" si="62"/>
        <v>30.800000000000004</v>
      </c>
      <c r="O126" s="39">
        <v>30.800000000000004</v>
      </c>
      <c r="P126" s="40">
        <f t="shared" si="61"/>
        <v>30.800000000000004</v>
      </c>
      <c r="Q126" s="163"/>
      <c r="R126" s="477"/>
      <c r="X126" s="496"/>
    </row>
    <row r="127" spans="1:24" s="333" customFormat="1" ht="18">
      <c r="A127" s="494">
        <f t="shared" si="59"/>
        <v>20.120000000000019</v>
      </c>
      <c r="B127" s="173" t="s">
        <v>141</v>
      </c>
      <c r="C127" s="281" t="s">
        <v>1787</v>
      </c>
      <c r="D127" s="38">
        <v>11.5</v>
      </c>
      <c r="E127" s="39">
        <v>25</v>
      </c>
      <c r="F127" s="39">
        <v>30</v>
      </c>
      <c r="G127" s="39">
        <v>30</v>
      </c>
      <c r="H127" s="48">
        <v>29</v>
      </c>
      <c r="I127" s="48">
        <f t="shared" si="58"/>
        <v>29</v>
      </c>
      <c r="J127" s="39">
        <v>30</v>
      </c>
      <c r="K127" s="39">
        <f t="shared" si="60"/>
        <v>31</v>
      </c>
      <c r="L127" s="39">
        <f t="shared" si="43"/>
        <v>34.1</v>
      </c>
      <c r="M127" s="39">
        <f t="shared" si="55"/>
        <v>34.1</v>
      </c>
      <c r="N127" s="39">
        <f t="shared" si="62"/>
        <v>34.1</v>
      </c>
      <c r="O127" s="39">
        <v>34.1</v>
      </c>
      <c r="P127" s="40">
        <f t="shared" si="61"/>
        <v>34.1</v>
      </c>
      <c r="Q127" s="163"/>
      <c r="R127" s="477"/>
      <c r="X127" s="496"/>
    </row>
    <row r="128" spans="1:24" ht="18">
      <c r="A128" s="434">
        <v>21</v>
      </c>
      <c r="B128" s="369" t="s">
        <v>142</v>
      </c>
      <c r="C128" s="371"/>
      <c r="D128" s="378"/>
      <c r="E128" s="377"/>
      <c r="F128" s="377"/>
      <c r="G128" s="377"/>
      <c r="H128" s="373"/>
      <c r="I128" s="373"/>
      <c r="J128" s="373"/>
      <c r="K128" s="373"/>
      <c r="L128" s="373"/>
      <c r="M128" s="373"/>
      <c r="N128" s="373"/>
      <c r="O128" s="373"/>
      <c r="P128" s="429"/>
      <c r="Q128" s="431"/>
      <c r="R128" s="476"/>
      <c r="X128" s="155"/>
    </row>
    <row r="129" spans="1:24" ht="18">
      <c r="A129" s="945">
        <f>A128+0.01</f>
        <v>21.01</v>
      </c>
      <c r="B129" s="310" t="s">
        <v>143</v>
      </c>
      <c r="C129" s="238" t="s">
        <v>1787</v>
      </c>
      <c r="D129" s="26">
        <v>100</v>
      </c>
      <c r="E129" s="27">
        <v>160</v>
      </c>
      <c r="F129" s="27">
        <v>165</v>
      </c>
      <c r="G129" s="27">
        <v>170</v>
      </c>
      <c r="H129" s="43">
        <v>276</v>
      </c>
      <c r="I129" s="43">
        <f>H129</f>
        <v>276</v>
      </c>
      <c r="J129" s="27">
        <f t="shared" ref="J129:J177" si="63">I129</f>
        <v>276</v>
      </c>
      <c r="K129" s="27">
        <f t="shared" si="42"/>
        <v>276</v>
      </c>
      <c r="L129" s="27">
        <f t="shared" si="43"/>
        <v>303.60000000000002</v>
      </c>
      <c r="M129" s="27">
        <f t="shared" si="55"/>
        <v>303.60000000000002</v>
      </c>
      <c r="N129" s="27">
        <f t="shared" si="62"/>
        <v>303.60000000000002</v>
      </c>
      <c r="O129" s="27">
        <v>303.60000000000002</v>
      </c>
      <c r="P129" s="28">
        <f>O129</f>
        <v>303.60000000000002</v>
      </c>
      <c r="Q129" s="29"/>
      <c r="R129" s="475"/>
      <c r="X129" s="155"/>
    </row>
    <row r="130" spans="1:24" ht="18">
      <c r="A130" s="945">
        <f t="shared" ref="A130:A133" si="64">A129+0.01</f>
        <v>21.020000000000003</v>
      </c>
      <c r="B130" s="310" t="s">
        <v>144</v>
      </c>
      <c r="C130" s="238" t="s">
        <v>1787</v>
      </c>
      <c r="D130" s="26">
        <v>80</v>
      </c>
      <c r="E130" s="27">
        <v>130</v>
      </c>
      <c r="F130" s="27">
        <v>135</v>
      </c>
      <c r="G130" s="27">
        <v>140</v>
      </c>
      <c r="H130" s="43">
        <v>193</v>
      </c>
      <c r="I130" s="43">
        <f>H130</f>
        <v>193</v>
      </c>
      <c r="J130" s="27">
        <f t="shared" si="63"/>
        <v>193</v>
      </c>
      <c r="K130" s="27">
        <f t="shared" si="42"/>
        <v>193</v>
      </c>
      <c r="L130" s="27">
        <f t="shared" si="43"/>
        <v>212.3</v>
      </c>
      <c r="M130" s="27">
        <f t="shared" si="55"/>
        <v>212.3</v>
      </c>
      <c r="N130" s="27">
        <f t="shared" si="62"/>
        <v>212.3</v>
      </c>
      <c r="O130" s="27">
        <v>212.3</v>
      </c>
      <c r="P130" s="28">
        <f t="shared" ref="P130:P133" si="65">O130</f>
        <v>212.3</v>
      </c>
      <c r="Q130" s="29"/>
      <c r="R130" s="475"/>
      <c r="X130" s="155"/>
    </row>
    <row r="131" spans="1:24" ht="18">
      <c r="A131" s="945">
        <f t="shared" si="64"/>
        <v>21.030000000000005</v>
      </c>
      <c r="B131" s="310" t="s">
        <v>145</v>
      </c>
      <c r="C131" s="238" t="s">
        <v>1787</v>
      </c>
      <c r="D131" s="26">
        <v>60</v>
      </c>
      <c r="E131" s="27">
        <v>100</v>
      </c>
      <c r="F131" s="27">
        <v>105</v>
      </c>
      <c r="G131" s="27">
        <v>110</v>
      </c>
      <c r="H131" s="43">
        <v>166</v>
      </c>
      <c r="I131" s="43">
        <f>H131</f>
        <v>166</v>
      </c>
      <c r="J131" s="27">
        <f t="shared" si="63"/>
        <v>166</v>
      </c>
      <c r="K131" s="27">
        <f t="shared" si="42"/>
        <v>166</v>
      </c>
      <c r="L131" s="27">
        <f t="shared" si="43"/>
        <v>182.60000000000002</v>
      </c>
      <c r="M131" s="27">
        <f t="shared" si="55"/>
        <v>182.60000000000002</v>
      </c>
      <c r="N131" s="27">
        <f t="shared" si="62"/>
        <v>182.60000000000002</v>
      </c>
      <c r="O131" s="27">
        <v>182.60000000000002</v>
      </c>
      <c r="P131" s="28">
        <f t="shared" si="65"/>
        <v>182.60000000000002</v>
      </c>
      <c r="Q131" s="29"/>
      <c r="R131" s="475"/>
      <c r="X131" s="155"/>
    </row>
    <row r="132" spans="1:24" ht="18">
      <c r="A132" s="945">
        <f t="shared" si="64"/>
        <v>21.040000000000006</v>
      </c>
      <c r="B132" s="310" t="s">
        <v>146</v>
      </c>
      <c r="C132" s="238" t="s">
        <v>1787</v>
      </c>
      <c r="D132" s="26">
        <v>35</v>
      </c>
      <c r="E132" s="27">
        <v>80</v>
      </c>
      <c r="F132" s="27">
        <v>85</v>
      </c>
      <c r="G132" s="27">
        <v>90</v>
      </c>
      <c r="H132" s="43">
        <v>138</v>
      </c>
      <c r="I132" s="43">
        <f>H132</f>
        <v>138</v>
      </c>
      <c r="J132" s="27">
        <f t="shared" si="63"/>
        <v>138</v>
      </c>
      <c r="K132" s="27">
        <f t="shared" si="42"/>
        <v>138</v>
      </c>
      <c r="L132" s="27">
        <f t="shared" si="43"/>
        <v>151.80000000000001</v>
      </c>
      <c r="M132" s="27">
        <f t="shared" si="55"/>
        <v>151.80000000000001</v>
      </c>
      <c r="N132" s="27">
        <f t="shared" si="62"/>
        <v>151.80000000000001</v>
      </c>
      <c r="O132" s="27">
        <v>151.80000000000001</v>
      </c>
      <c r="P132" s="28">
        <f t="shared" si="65"/>
        <v>151.80000000000001</v>
      </c>
      <c r="Q132" s="29"/>
      <c r="R132" s="475"/>
      <c r="X132" s="155"/>
    </row>
    <row r="133" spans="1:24" ht="18">
      <c r="A133" s="945">
        <f t="shared" si="64"/>
        <v>21.050000000000008</v>
      </c>
      <c r="B133" s="310" t="s">
        <v>147</v>
      </c>
      <c r="C133" s="238" t="s">
        <v>1787</v>
      </c>
      <c r="D133" s="26">
        <v>30</v>
      </c>
      <c r="E133" s="27">
        <v>70</v>
      </c>
      <c r="F133" s="27">
        <v>73</v>
      </c>
      <c r="G133" s="27">
        <v>75</v>
      </c>
      <c r="H133" s="43">
        <v>89</v>
      </c>
      <c r="I133" s="43">
        <f>H133</f>
        <v>89</v>
      </c>
      <c r="J133" s="27">
        <f t="shared" si="63"/>
        <v>89</v>
      </c>
      <c r="K133" s="27">
        <f t="shared" si="42"/>
        <v>89</v>
      </c>
      <c r="L133" s="27">
        <f t="shared" si="43"/>
        <v>97.9</v>
      </c>
      <c r="M133" s="27">
        <f t="shared" si="55"/>
        <v>97.9</v>
      </c>
      <c r="N133" s="27">
        <f t="shared" si="62"/>
        <v>97.9</v>
      </c>
      <c r="O133" s="27">
        <v>97.9</v>
      </c>
      <c r="P133" s="28">
        <f t="shared" si="65"/>
        <v>97.9</v>
      </c>
      <c r="Q133" s="29"/>
      <c r="R133" s="475"/>
      <c r="X133" s="155"/>
    </row>
    <row r="134" spans="1:24" ht="38.25">
      <c r="A134" s="434">
        <v>22</v>
      </c>
      <c r="B134" s="375" t="s">
        <v>148</v>
      </c>
      <c r="C134" s="371"/>
      <c r="D134" s="376"/>
      <c r="E134" s="377"/>
      <c r="F134" s="377"/>
      <c r="G134" s="377"/>
      <c r="H134" s="377"/>
      <c r="I134" s="377"/>
      <c r="J134" s="373"/>
      <c r="K134" s="373"/>
      <c r="L134" s="373"/>
      <c r="M134" s="373"/>
      <c r="N134" s="373"/>
      <c r="O134" s="373"/>
      <c r="P134" s="429"/>
      <c r="Q134" s="431"/>
      <c r="R134" s="1227" t="s">
        <v>1755</v>
      </c>
      <c r="X134" s="155"/>
    </row>
    <row r="135" spans="1:24" ht="20.25">
      <c r="A135" s="948">
        <f>A134+0.01</f>
        <v>22.01</v>
      </c>
      <c r="B135" s="51" t="s">
        <v>2657</v>
      </c>
      <c r="C135" s="238" t="s">
        <v>1871</v>
      </c>
      <c r="D135" s="53"/>
      <c r="E135" s="27">
        <f>133.93*1.05</f>
        <v>140.62650000000002</v>
      </c>
      <c r="F135" s="27">
        <v>150</v>
      </c>
      <c r="G135" s="27">
        <v>160</v>
      </c>
      <c r="H135" s="43">
        <v>200</v>
      </c>
      <c r="I135" s="43">
        <f>H135</f>
        <v>200</v>
      </c>
      <c r="J135" s="27">
        <f t="shared" si="63"/>
        <v>200</v>
      </c>
      <c r="K135" s="27">
        <v>225</v>
      </c>
      <c r="L135" s="27">
        <f t="shared" si="43"/>
        <v>247.50000000000003</v>
      </c>
      <c r="M135" s="27">
        <f t="shared" si="55"/>
        <v>247.50000000000003</v>
      </c>
      <c r="N135" s="27">
        <f t="shared" si="62"/>
        <v>247.50000000000003</v>
      </c>
      <c r="O135" s="27">
        <v>247.50000000000003</v>
      </c>
      <c r="P135" s="44">
        <f>TRUNC(T135,2)</f>
        <v>252.45</v>
      </c>
      <c r="Q135" s="29"/>
      <c r="R135" s="1228">
        <v>261</v>
      </c>
      <c r="T135" s="177">
        <f>TRUNC(102%*O135/5,2)*5</f>
        <v>252.45000000000002</v>
      </c>
      <c r="X135" s="155"/>
    </row>
    <row r="136" spans="1:24" ht="20.25">
      <c r="A136" s="948">
        <f>A135+0.01</f>
        <v>22.020000000000003</v>
      </c>
      <c r="B136" s="51" t="s">
        <v>2655</v>
      </c>
      <c r="C136" s="238" t="s">
        <v>1871</v>
      </c>
      <c r="D136" s="53"/>
      <c r="E136" s="27">
        <f>187.5*1.05</f>
        <v>196.875</v>
      </c>
      <c r="F136" s="27">
        <v>210</v>
      </c>
      <c r="G136" s="27">
        <v>225</v>
      </c>
      <c r="H136" s="43">
        <v>275</v>
      </c>
      <c r="I136" s="43">
        <f>H136</f>
        <v>275</v>
      </c>
      <c r="J136" s="27">
        <f t="shared" si="63"/>
        <v>275</v>
      </c>
      <c r="K136" s="27">
        <v>300</v>
      </c>
      <c r="L136" s="27">
        <f t="shared" si="43"/>
        <v>330</v>
      </c>
      <c r="M136" s="27">
        <f t="shared" si="55"/>
        <v>330</v>
      </c>
      <c r="N136" s="27">
        <f t="shared" si="62"/>
        <v>330</v>
      </c>
      <c r="O136" s="27">
        <v>330</v>
      </c>
      <c r="P136" s="44">
        <f t="shared" ref="P136" si="66">TRUNC(T136,2)</f>
        <v>336.6</v>
      </c>
      <c r="Q136" s="29"/>
      <c r="R136" s="1228">
        <v>361</v>
      </c>
      <c r="T136" s="177">
        <f t="shared" ref="T136:T140" si="67">TRUNC(102%*O136/5,2)*5</f>
        <v>336.59999999999997</v>
      </c>
      <c r="X136" s="155"/>
    </row>
    <row r="137" spans="1:24" ht="18">
      <c r="A137" s="948">
        <f>A136+0.01</f>
        <v>22.030000000000005</v>
      </c>
      <c r="B137" s="51" t="s">
        <v>2656</v>
      </c>
      <c r="C137" s="238" t="s">
        <v>1871</v>
      </c>
      <c r="D137" s="53"/>
      <c r="E137" s="27"/>
      <c r="F137" s="27"/>
      <c r="G137" s="27"/>
      <c r="H137" s="43"/>
      <c r="I137" s="43"/>
      <c r="J137" s="27"/>
      <c r="K137" s="27"/>
      <c r="L137" s="27"/>
      <c r="M137" s="877" t="s">
        <v>2160</v>
      </c>
      <c r="N137" s="877" t="s">
        <v>2160</v>
      </c>
      <c r="O137" s="27">
        <v>340</v>
      </c>
      <c r="P137" s="44">
        <f>TRUNC(T137,2)</f>
        <v>346.8</v>
      </c>
      <c r="Q137" s="29"/>
      <c r="R137" s="1229">
        <v>410</v>
      </c>
      <c r="T137" s="177">
        <f t="shared" si="67"/>
        <v>346.8</v>
      </c>
      <c r="X137" s="155"/>
    </row>
    <row r="138" spans="1:24" ht="18">
      <c r="A138" s="434">
        <v>23</v>
      </c>
      <c r="B138" s="375" t="s">
        <v>150</v>
      </c>
      <c r="C138" s="371"/>
      <c r="D138" s="372"/>
      <c r="E138" s="373"/>
      <c r="F138" s="373"/>
      <c r="G138" s="373"/>
      <c r="H138" s="373"/>
      <c r="I138" s="373"/>
      <c r="J138" s="373"/>
      <c r="K138" s="373"/>
      <c r="L138" s="373"/>
      <c r="M138" s="373"/>
      <c r="N138" s="373"/>
      <c r="O138" s="373"/>
      <c r="P138" s="429"/>
      <c r="Q138" s="431"/>
      <c r="R138" s="476"/>
      <c r="X138" s="155"/>
    </row>
    <row r="139" spans="1:24" ht="18">
      <c r="A139" s="948">
        <f>A138+0.01</f>
        <v>23.01</v>
      </c>
      <c r="B139" s="51" t="s">
        <v>2658</v>
      </c>
      <c r="C139" s="238" t="s">
        <v>1871</v>
      </c>
      <c r="D139" s="53"/>
      <c r="E139" s="27">
        <f>152.58*1.05</f>
        <v>160.20900000000003</v>
      </c>
      <c r="F139" s="27">
        <v>170</v>
      </c>
      <c r="G139" s="27">
        <v>180</v>
      </c>
      <c r="H139" s="43">
        <v>225</v>
      </c>
      <c r="I139" s="43">
        <f>H139</f>
        <v>225</v>
      </c>
      <c r="J139" s="27">
        <f t="shared" si="63"/>
        <v>225</v>
      </c>
      <c r="K139" s="27">
        <v>250</v>
      </c>
      <c r="L139" s="27">
        <f t="shared" si="43"/>
        <v>275</v>
      </c>
      <c r="M139" s="27">
        <f t="shared" si="55"/>
        <v>275</v>
      </c>
      <c r="N139" s="27">
        <f t="shared" si="62"/>
        <v>275</v>
      </c>
      <c r="O139" s="27">
        <v>275</v>
      </c>
      <c r="P139" s="44">
        <f t="shared" ref="P139:P140" si="68">TRUNC(T139,2)</f>
        <v>280.5</v>
      </c>
      <c r="Q139" s="29"/>
      <c r="R139" s="475"/>
      <c r="T139" s="177">
        <f>TRUNC(102%*O139/5,2)*5</f>
        <v>280.5</v>
      </c>
      <c r="X139" s="155"/>
    </row>
    <row r="140" spans="1:24" ht="18">
      <c r="A140" s="948">
        <f>A139+0.01</f>
        <v>23.020000000000003</v>
      </c>
      <c r="B140" s="51" t="s">
        <v>2655</v>
      </c>
      <c r="C140" s="238" t="s">
        <v>1871</v>
      </c>
      <c r="D140" s="53"/>
      <c r="E140" s="27">
        <f>206.25*1.05</f>
        <v>216.5625</v>
      </c>
      <c r="F140" s="27">
        <v>236</v>
      </c>
      <c r="G140" s="27">
        <v>240</v>
      </c>
      <c r="H140" s="43">
        <v>300</v>
      </c>
      <c r="I140" s="43">
        <f>H140</f>
        <v>300</v>
      </c>
      <c r="J140" s="27">
        <f t="shared" si="63"/>
        <v>300</v>
      </c>
      <c r="K140" s="27">
        <v>350</v>
      </c>
      <c r="L140" s="27">
        <f t="shared" si="43"/>
        <v>385.00000000000006</v>
      </c>
      <c r="M140" s="27">
        <f t="shared" si="55"/>
        <v>385.00000000000006</v>
      </c>
      <c r="N140" s="27">
        <f t="shared" si="62"/>
        <v>385.00000000000006</v>
      </c>
      <c r="O140" s="27">
        <v>385.00000000000006</v>
      </c>
      <c r="P140" s="44">
        <f t="shared" si="68"/>
        <v>392.7</v>
      </c>
      <c r="Q140" s="29"/>
      <c r="R140" s="475"/>
      <c r="T140" s="177">
        <f t="shared" si="67"/>
        <v>392.70000000000005</v>
      </c>
      <c r="X140" s="155"/>
    </row>
    <row r="141" spans="1:24" ht="18">
      <c r="A141" s="434">
        <v>24</v>
      </c>
      <c r="B141" s="370" t="s">
        <v>2867</v>
      </c>
      <c r="C141" s="371"/>
      <c r="D141" s="372"/>
      <c r="E141" s="373"/>
      <c r="F141" s="373"/>
      <c r="G141" s="373"/>
      <c r="H141" s="373"/>
      <c r="I141" s="373"/>
      <c r="J141" s="373"/>
      <c r="K141" s="373"/>
      <c r="L141" s="373"/>
      <c r="M141" s="373"/>
      <c r="N141" s="373"/>
      <c r="O141" s="373"/>
      <c r="P141" s="429"/>
      <c r="Q141" s="431"/>
      <c r="R141" s="1339" t="s">
        <v>1755</v>
      </c>
      <c r="X141" s="155"/>
    </row>
    <row r="142" spans="1:24" ht="48">
      <c r="A142" s="948">
        <f>A141+0.01</f>
        <v>24.01</v>
      </c>
      <c r="B142" s="54" t="s">
        <v>2876</v>
      </c>
      <c r="C142" s="281" t="s">
        <v>1871</v>
      </c>
      <c r="D142" s="53"/>
      <c r="E142" s="39"/>
      <c r="F142" s="39"/>
      <c r="G142" s="39">
        <v>425</v>
      </c>
      <c r="H142" s="48">
        <v>510</v>
      </c>
      <c r="I142" s="48">
        <f t="shared" ref="I142:I150" si="69">H142</f>
        <v>510</v>
      </c>
      <c r="J142" s="157">
        <f t="shared" si="63"/>
        <v>510</v>
      </c>
      <c r="K142" s="39">
        <f t="shared" ref="K142:K177" si="70">J142</f>
        <v>510</v>
      </c>
      <c r="L142" s="39">
        <f t="shared" ref="L142:L177" si="71">K142*1.1</f>
        <v>561</v>
      </c>
      <c r="M142" s="39">
        <v>590</v>
      </c>
      <c r="N142" s="39">
        <f t="shared" si="62"/>
        <v>590</v>
      </c>
      <c r="O142" s="39">
        <v>590</v>
      </c>
      <c r="P142" s="40">
        <f>O142</f>
        <v>590</v>
      </c>
      <c r="Q142" s="163"/>
      <c r="R142" s="1338">
        <v>579</v>
      </c>
      <c r="X142" s="155"/>
    </row>
    <row r="143" spans="1:24" ht="48">
      <c r="A143" s="948">
        <f t="shared" ref="A143:A160" si="72">A142+0.01</f>
        <v>24.020000000000003</v>
      </c>
      <c r="B143" s="54" t="s">
        <v>2877</v>
      </c>
      <c r="C143" s="281" t="s">
        <v>1871</v>
      </c>
      <c r="D143" s="53"/>
      <c r="E143" s="39"/>
      <c r="F143" s="39"/>
      <c r="G143" s="39">
        <v>425</v>
      </c>
      <c r="H143" s="48">
        <v>535</v>
      </c>
      <c r="I143" s="48">
        <f t="shared" si="69"/>
        <v>535</v>
      </c>
      <c r="J143" s="39">
        <f t="shared" si="63"/>
        <v>535</v>
      </c>
      <c r="K143" s="39">
        <f t="shared" si="70"/>
        <v>535</v>
      </c>
      <c r="L143" s="39">
        <f t="shared" si="71"/>
        <v>588.5</v>
      </c>
      <c r="M143" s="39">
        <v>615</v>
      </c>
      <c r="N143" s="39">
        <f t="shared" si="62"/>
        <v>615</v>
      </c>
      <c r="O143" s="39">
        <v>615</v>
      </c>
      <c r="P143" s="40">
        <f t="shared" ref="P143:P165" si="73">O143</f>
        <v>615</v>
      </c>
      <c r="Q143" s="29"/>
      <c r="R143" s="1338">
        <v>610</v>
      </c>
      <c r="X143" s="155"/>
    </row>
    <row r="144" spans="1:24" ht="48">
      <c r="A144" s="948">
        <f t="shared" si="72"/>
        <v>24.030000000000005</v>
      </c>
      <c r="B144" s="54" t="s">
        <v>2878</v>
      </c>
      <c r="C144" s="281" t="s">
        <v>1871</v>
      </c>
      <c r="D144" s="53"/>
      <c r="E144" s="39"/>
      <c r="F144" s="39"/>
      <c r="G144" s="39">
        <v>450</v>
      </c>
      <c r="H144" s="48">
        <v>430</v>
      </c>
      <c r="I144" s="48">
        <f t="shared" si="69"/>
        <v>430</v>
      </c>
      <c r="J144" s="39">
        <f t="shared" si="63"/>
        <v>430</v>
      </c>
      <c r="K144" s="39">
        <f t="shared" si="70"/>
        <v>430</v>
      </c>
      <c r="L144" s="39">
        <f t="shared" si="71"/>
        <v>473.00000000000006</v>
      </c>
      <c r="M144" s="39">
        <v>520</v>
      </c>
      <c r="N144" s="39">
        <f t="shared" si="62"/>
        <v>520</v>
      </c>
      <c r="O144" s="39">
        <v>520</v>
      </c>
      <c r="P144" s="40">
        <f t="shared" si="73"/>
        <v>520</v>
      </c>
      <c r="Q144" s="29"/>
      <c r="R144" s="1338">
        <v>648</v>
      </c>
      <c r="X144" s="155"/>
    </row>
    <row r="145" spans="1:24" ht="48">
      <c r="A145" s="948">
        <f t="shared" si="72"/>
        <v>24.040000000000006</v>
      </c>
      <c r="B145" s="54" t="s">
        <v>2879</v>
      </c>
      <c r="C145" s="281" t="s">
        <v>1871</v>
      </c>
      <c r="D145" s="53"/>
      <c r="E145" s="39"/>
      <c r="F145" s="39"/>
      <c r="G145" s="39">
        <v>425</v>
      </c>
      <c r="H145" s="48">
        <v>485</v>
      </c>
      <c r="I145" s="48">
        <f t="shared" si="69"/>
        <v>485</v>
      </c>
      <c r="J145" s="39">
        <f t="shared" si="63"/>
        <v>485</v>
      </c>
      <c r="K145" s="39">
        <f t="shared" si="70"/>
        <v>485</v>
      </c>
      <c r="L145" s="39">
        <f t="shared" si="71"/>
        <v>533.5</v>
      </c>
      <c r="M145" s="39">
        <v>560</v>
      </c>
      <c r="N145" s="39">
        <f t="shared" si="62"/>
        <v>560</v>
      </c>
      <c r="O145" s="39">
        <v>560</v>
      </c>
      <c r="P145" s="40">
        <f t="shared" si="73"/>
        <v>560</v>
      </c>
      <c r="Q145" s="29"/>
      <c r="R145" s="1338">
        <v>610</v>
      </c>
      <c r="X145" s="155"/>
    </row>
    <row r="146" spans="1:24" ht="48">
      <c r="A146" s="948">
        <f t="shared" si="72"/>
        <v>24.050000000000008</v>
      </c>
      <c r="B146" s="54" t="s">
        <v>2880</v>
      </c>
      <c r="C146" s="281" t="s">
        <v>1871</v>
      </c>
      <c r="D146" s="53"/>
      <c r="E146" s="39"/>
      <c r="F146" s="39"/>
      <c r="G146" s="39">
        <v>425</v>
      </c>
      <c r="H146" s="48">
        <v>510</v>
      </c>
      <c r="I146" s="48">
        <f t="shared" si="69"/>
        <v>510</v>
      </c>
      <c r="J146" s="39">
        <f t="shared" si="63"/>
        <v>510</v>
      </c>
      <c r="K146" s="39">
        <f t="shared" si="70"/>
        <v>510</v>
      </c>
      <c r="L146" s="39">
        <f t="shared" si="71"/>
        <v>561</v>
      </c>
      <c r="M146" s="39">
        <v>590</v>
      </c>
      <c r="N146" s="39">
        <f t="shared" si="62"/>
        <v>590</v>
      </c>
      <c r="O146" s="39">
        <v>590</v>
      </c>
      <c r="P146" s="40">
        <f t="shared" si="73"/>
        <v>590</v>
      </c>
      <c r="Q146" s="29"/>
      <c r="R146" s="1338">
        <v>675</v>
      </c>
      <c r="X146" s="155"/>
    </row>
    <row r="147" spans="1:24" ht="48">
      <c r="A147" s="948">
        <f t="shared" si="72"/>
        <v>24.060000000000009</v>
      </c>
      <c r="B147" s="54" t="s">
        <v>2881</v>
      </c>
      <c r="C147" s="281" t="s">
        <v>1871</v>
      </c>
      <c r="D147" s="53"/>
      <c r="E147" s="39"/>
      <c r="F147" s="39"/>
      <c r="G147" s="39">
        <v>500</v>
      </c>
      <c r="H147" s="48">
        <v>585</v>
      </c>
      <c r="I147" s="48">
        <f t="shared" si="69"/>
        <v>585</v>
      </c>
      <c r="J147" s="39">
        <f t="shared" si="63"/>
        <v>585</v>
      </c>
      <c r="K147" s="39">
        <f t="shared" si="70"/>
        <v>585</v>
      </c>
      <c r="L147" s="39">
        <f t="shared" si="71"/>
        <v>643.5</v>
      </c>
      <c r="M147" s="39">
        <v>645</v>
      </c>
      <c r="N147" s="39">
        <f t="shared" si="62"/>
        <v>645</v>
      </c>
      <c r="O147" s="39">
        <v>645</v>
      </c>
      <c r="P147" s="40">
        <f t="shared" si="73"/>
        <v>645</v>
      </c>
      <c r="Q147" s="29"/>
      <c r="R147" s="1338">
        <v>788</v>
      </c>
      <c r="X147" s="155"/>
    </row>
    <row r="148" spans="1:24" ht="48">
      <c r="A148" s="948">
        <f t="shared" si="72"/>
        <v>24.070000000000011</v>
      </c>
      <c r="B148" s="54" t="s">
        <v>2882</v>
      </c>
      <c r="C148" s="281" t="s">
        <v>1871</v>
      </c>
      <c r="D148" s="53"/>
      <c r="E148" s="39"/>
      <c r="F148" s="39"/>
      <c r="G148" s="39">
        <v>500</v>
      </c>
      <c r="H148" s="48">
        <v>535</v>
      </c>
      <c r="I148" s="48">
        <f t="shared" si="69"/>
        <v>535</v>
      </c>
      <c r="J148" s="39">
        <f t="shared" si="63"/>
        <v>535</v>
      </c>
      <c r="K148" s="39">
        <f t="shared" si="70"/>
        <v>535</v>
      </c>
      <c r="L148" s="39">
        <f t="shared" si="71"/>
        <v>588.5</v>
      </c>
      <c r="M148" s="39">
        <v>615</v>
      </c>
      <c r="N148" s="39">
        <f t="shared" si="62"/>
        <v>615</v>
      </c>
      <c r="O148" s="39">
        <v>615</v>
      </c>
      <c r="P148" s="40">
        <f t="shared" si="73"/>
        <v>615</v>
      </c>
      <c r="Q148" s="29"/>
      <c r="R148" s="1338">
        <v>675</v>
      </c>
      <c r="X148" s="155"/>
    </row>
    <row r="149" spans="1:24" ht="48">
      <c r="A149" s="948">
        <f t="shared" si="72"/>
        <v>24.080000000000013</v>
      </c>
      <c r="B149" s="55" t="s">
        <v>2660</v>
      </c>
      <c r="C149" s="281" t="s">
        <v>1871</v>
      </c>
      <c r="D149" s="53"/>
      <c r="E149" s="39"/>
      <c r="F149" s="39"/>
      <c r="G149" s="39">
        <v>550</v>
      </c>
      <c r="H149" s="48">
        <v>665</v>
      </c>
      <c r="I149" s="48">
        <f t="shared" si="69"/>
        <v>665</v>
      </c>
      <c r="J149" s="39">
        <f t="shared" si="63"/>
        <v>665</v>
      </c>
      <c r="K149" s="39">
        <f t="shared" si="70"/>
        <v>665</v>
      </c>
      <c r="L149" s="39">
        <f t="shared" si="71"/>
        <v>731.50000000000011</v>
      </c>
      <c r="M149" s="39">
        <v>705</v>
      </c>
      <c r="N149" s="39">
        <f t="shared" si="62"/>
        <v>705</v>
      </c>
      <c r="O149" s="39">
        <v>705</v>
      </c>
      <c r="P149" s="40">
        <f t="shared" si="73"/>
        <v>705</v>
      </c>
      <c r="Q149" s="29"/>
      <c r="R149" s="1338">
        <v>745</v>
      </c>
      <c r="X149" s="155"/>
    </row>
    <row r="150" spans="1:24" ht="36">
      <c r="A150" s="948">
        <f t="shared" si="72"/>
        <v>24.090000000000014</v>
      </c>
      <c r="B150" s="54" t="s">
        <v>2659</v>
      </c>
      <c r="C150" s="281" t="s">
        <v>1871</v>
      </c>
      <c r="D150" s="53"/>
      <c r="E150" s="39"/>
      <c r="F150" s="39"/>
      <c r="G150" s="39">
        <v>300</v>
      </c>
      <c r="H150" s="48">
        <v>370</v>
      </c>
      <c r="I150" s="48">
        <f t="shared" si="69"/>
        <v>370</v>
      </c>
      <c r="J150" s="39">
        <f t="shared" si="63"/>
        <v>370</v>
      </c>
      <c r="K150" s="39">
        <f t="shared" si="70"/>
        <v>370</v>
      </c>
      <c r="L150" s="39">
        <f t="shared" si="71"/>
        <v>407.00000000000006</v>
      </c>
      <c r="M150" s="39">
        <v>400</v>
      </c>
      <c r="N150" s="39">
        <f t="shared" si="62"/>
        <v>400</v>
      </c>
      <c r="O150" s="39">
        <v>400</v>
      </c>
      <c r="P150" s="40">
        <f t="shared" si="73"/>
        <v>400</v>
      </c>
      <c r="Q150" s="29"/>
      <c r="R150" s="1338">
        <v>397</v>
      </c>
      <c r="X150" s="155"/>
    </row>
    <row r="151" spans="1:24" ht="48">
      <c r="A151" s="948">
        <f t="shared" si="72"/>
        <v>24.100000000000016</v>
      </c>
      <c r="B151" s="202" t="s">
        <v>2883</v>
      </c>
      <c r="C151" s="281" t="s">
        <v>1871</v>
      </c>
      <c r="D151" s="195"/>
      <c r="E151" s="910"/>
      <c r="F151" s="910"/>
      <c r="G151" s="910"/>
      <c r="H151" s="358"/>
      <c r="I151" s="358"/>
      <c r="J151" s="910"/>
      <c r="K151" s="910"/>
      <c r="L151" s="910"/>
      <c r="M151" s="39">
        <v>496.46017699115049</v>
      </c>
      <c r="N151" s="39">
        <f t="shared" si="62"/>
        <v>496.46017699115049</v>
      </c>
      <c r="O151" s="39">
        <v>496.46017699115049</v>
      </c>
      <c r="P151" s="40">
        <f t="shared" si="73"/>
        <v>496.46017699115049</v>
      </c>
      <c r="Q151" s="29"/>
      <c r="R151" s="1338"/>
      <c r="X151" s="155"/>
    </row>
    <row r="152" spans="1:24" ht="48">
      <c r="A152" s="948">
        <f t="shared" si="72"/>
        <v>24.110000000000017</v>
      </c>
      <c r="B152" s="202" t="s">
        <v>2884</v>
      </c>
      <c r="C152" s="281" t="s">
        <v>1871</v>
      </c>
      <c r="D152" s="195"/>
      <c r="E152" s="910"/>
      <c r="F152" s="910"/>
      <c r="G152" s="910"/>
      <c r="H152" s="358"/>
      <c r="I152" s="358"/>
      <c r="J152" s="910"/>
      <c r="K152" s="910"/>
      <c r="L152" s="910"/>
      <c r="M152" s="39">
        <v>520.79646017699122</v>
      </c>
      <c r="N152" s="39">
        <f t="shared" si="62"/>
        <v>520.79646017699122</v>
      </c>
      <c r="O152" s="39">
        <v>520.79646017699122</v>
      </c>
      <c r="P152" s="40">
        <f t="shared" si="73"/>
        <v>520.79646017699122</v>
      </c>
      <c r="Q152" s="29"/>
      <c r="R152" s="1338"/>
      <c r="X152" s="155"/>
    </row>
    <row r="153" spans="1:24" ht="48">
      <c r="A153" s="948">
        <f t="shared" si="72"/>
        <v>24.120000000000019</v>
      </c>
      <c r="B153" s="202" t="s">
        <v>2885</v>
      </c>
      <c r="C153" s="281" t="s">
        <v>1871</v>
      </c>
      <c r="D153" s="195"/>
      <c r="E153" s="910"/>
      <c r="F153" s="910"/>
      <c r="G153" s="910"/>
      <c r="H153" s="358"/>
      <c r="I153" s="358"/>
      <c r="J153" s="910"/>
      <c r="K153" s="910"/>
      <c r="L153" s="910"/>
      <c r="M153" s="39">
        <v>418.58407079646025</v>
      </c>
      <c r="N153" s="39">
        <f t="shared" si="62"/>
        <v>418.58407079646025</v>
      </c>
      <c r="O153" s="39">
        <v>418.58407079646025</v>
      </c>
      <c r="P153" s="40">
        <f t="shared" si="73"/>
        <v>418.58407079646025</v>
      </c>
      <c r="Q153" s="29"/>
      <c r="R153" s="1338"/>
      <c r="X153" s="155"/>
    </row>
    <row r="154" spans="1:24" ht="48">
      <c r="A154" s="948">
        <f t="shared" si="72"/>
        <v>24.13000000000002</v>
      </c>
      <c r="B154" s="202" t="s">
        <v>2886</v>
      </c>
      <c r="C154" s="281" t="s">
        <v>1871</v>
      </c>
      <c r="D154" s="195"/>
      <c r="E154" s="910"/>
      <c r="F154" s="910"/>
      <c r="G154" s="910"/>
      <c r="H154" s="358"/>
      <c r="I154" s="358"/>
      <c r="J154" s="910"/>
      <c r="K154" s="910"/>
      <c r="L154" s="910"/>
      <c r="M154" s="39">
        <v>472.12389380530976</v>
      </c>
      <c r="N154" s="39">
        <f t="shared" si="62"/>
        <v>472.12389380530976</v>
      </c>
      <c r="O154" s="39">
        <v>472.12389380530976</v>
      </c>
      <c r="P154" s="40">
        <f t="shared" si="73"/>
        <v>472.12389380530976</v>
      </c>
      <c r="Q154" s="29"/>
      <c r="R154" s="1338"/>
      <c r="X154" s="155"/>
    </row>
    <row r="155" spans="1:24" ht="48">
      <c r="A155" s="948">
        <f t="shared" si="72"/>
        <v>24.140000000000022</v>
      </c>
      <c r="B155" s="202" t="s">
        <v>2887</v>
      </c>
      <c r="C155" s="281" t="s">
        <v>1871</v>
      </c>
      <c r="D155" s="195"/>
      <c r="E155" s="910"/>
      <c r="F155" s="910"/>
      <c r="G155" s="910"/>
      <c r="H155" s="358"/>
      <c r="I155" s="358"/>
      <c r="J155" s="910"/>
      <c r="K155" s="910"/>
      <c r="L155" s="910"/>
      <c r="M155" s="39">
        <v>496.46017699115049</v>
      </c>
      <c r="N155" s="39">
        <f t="shared" si="62"/>
        <v>496.46017699115049</v>
      </c>
      <c r="O155" s="39">
        <v>496.46017699115049</v>
      </c>
      <c r="P155" s="40">
        <f t="shared" si="73"/>
        <v>496.46017699115049</v>
      </c>
      <c r="Q155" s="29"/>
      <c r="R155" s="1338"/>
      <c r="X155" s="155"/>
    </row>
    <row r="156" spans="1:24" ht="48">
      <c r="A156" s="948">
        <f t="shared" si="72"/>
        <v>24.150000000000023</v>
      </c>
      <c r="B156" s="202" t="s">
        <v>2888</v>
      </c>
      <c r="C156" s="281" t="s">
        <v>1871</v>
      </c>
      <c r="D156" s="195"/>
      <c r="E156" s="910"/>
      <c r="F156" s="910"/>
      <c r="G156" s="910"/>
      <c r="H156" s="358"/>
      <c r="I156" s="358"/>
      <c r="J156" s="910"/>
      <c r="K156" s="910"/>
      <c r="L156" s="910"/>
      <c r="M156" s="39">
        <v>569.46902654867267</v>
      </c>
      <c r="N156" s="39">
        <f t="shared" si="62"/>
        <v>569.46902654867267</v>
      </c>
      <c r="O156" s="39">
        <v>569.46902654867267</v>
      </c>
      <c r="P156" s="40">
        <f t="shared" si="73"/>
        <v>569.46902654867267</v>
      </c>
      <c r="Q156" s="29"/>
      <c r="R156" s="1338"/>
      <c r="X156" s="155"/>
    </row>
    <row r="157" spans="1:24" ht="48">
      <c r="A157" s="948">
        <f t="shared" si="72"/>
        <v>24.160000000000025</v>
      </c>
      <c r="B157" s="202" t="s">
        <v>2889</v>
      </c>
      <c r="C157" s="281" t="s">
        <v>1871</v>
      </c>
      <c r="D157" s="195"/>
      <c r="E157" s="910"/>
      <c r="F157" s="910"/>
      <c r="G157" s="910"/>
      <c r="H157" s="358"/>
      <c r="I157" s="358"/>
      <c r="J157" s="910"/>
      <c r="K157" s="910"/>
      <c r="L157" s="910"/>
      <c r="M157" s="39">
        <v>520.79646017699122</v>
      </c>
      <c r="N157" s="39">
        <f t="shared" si="62"/>
        <v>520.79646017699122</v>
      </c>
      <c r="O157" s="39">
        <v>520.79646017699122</v>
      </c>
      <c r="P157" s="40">
        <f t="shared" si="73"/>
        <v>520.79646017699122</v>
      </c>
      <c r="Q157" s="29"/>
      <c r="R157" s="1338"/>
      <c r="X157" s="155"/>
    </row>
    <row r="158" spans="1:24" ht="48">
      <c r="A158" s="948">
        <f t="shared" si="72"/>
        <v>24.170000000000027</v>
      </c>
      <c r="B158" s="202" t="s">
        <v>2890</v>
      </c>
      <c r="C158" s="281" t="s">
        <v>1871</v>
      </c>
      <c r="D158" s="195"/>
      <c r="E158" s="910"/>
      <c r="F158" s="910"/>
      <c r="G158" s="910"/>
      <c r="H158" s="358"/>
      <c r="I158" s="358"/>
      <c r="J158" s="910"/>
      <c r="K158" s="910"/>
      <c r="L158" s="910"/>
      <c r="M158" s="39">
        <v>647.34513274336302</v>
      </c>
      <c r="N158" s="39">
        <f t="shared" si="62"/>
        <v>647.34513274336302</v>
      </c>
      <c r="O158" s="39">
        <v>647.34513274336302</v>
      </c>
      <c r="P158" s="40">
        <f t="shared" si="73"/>
        <v>647.34513274336302</v>
      </c>
      <c r="Q158" s="29"/>
      <c r="R158" s="1338"/>
      <c r="X158" s="155"/>
    </row>
    <row r="159" spans="1:24" ht="41.45" customHeight="1">
      <c r="A159" s="948">
        <f t="shared" si="72"/>
        <v>24.180000000000028</v>
      </c>
      <c r="B159" s="202" t="s">
        <v>2875</v>
      </c>
      <c r="C159" s="281" t="s">
        <v>1871</v>
      </c>
      <c r="D159" s="195"/>
      <c r="E159" s="910"/>
      <c r="F159" s="910"/>
      <c r="G159" s="910"/>
      <c r="H159" s="358"/>
      <c r="I159" s="358"/>
      <c r="J159" s="910"/>
      <c r="K159" s="910"/>
      <c r="L159" s="910"/>
      <c r="M159" s="39">
        <v>360.17699115044257</v>
      </c>
      <c r="N159" s="39">
        <f t="shared" si="62"/>
        <v>360.17699115044257</v>
      </c>
      <c r="O159" s="39">
        <v>360.17699115044257</v>
      </c>
      <c r="P159" s="40">
        <f t="shared" si="73"/>
        <v>360.17699115044257</v>
      </c>
      <c r="Q159" s="29"/>
      <c r="R159" s="1338"/>
      <c r="X159" s="155"/>
    </row>
    <row r="160" spans="1:24" ht="45.6" customHeight="1">
      <c r="A160" s="948">
        <f t="shared" si="72"/>
        <v>24.19000000000003</v>
      </c>
      <c r="B160" s="202" t="s">
        <v>2868</v>
      </c>
      <c r="C160" s="281" t="s">
        <v>1871</v>
      </c>
      <c r="D160" s="195"/>
      <c r="E160" s="910"/>
      <c r="F160" s="910"/>
      <c r="G160" s="910"/>
      <c r="H160" s="358"/>
      <c r="I160" s="358"/>
      <c r="J160" s="910"/>
      <c r="K160" s="910"/>
      <c r="L160" s="910"/>
      <c r="M160" s="39"/>
      <c r="N160" s="1469">
        <v>0</v>
      </c>
      <c r="O160" s="1469">
        <v>0</v>
      </c>
      <c r="P160" s="1470">
        <v>586</v>
      </c>
      <c r="Q160" s="29"/>
      <c r="R160" s="1338"/>
      <c r="X160" s="155"/>
    </row>
    <row r="161" spans="1:24" ht="18">
      <c r="A161" s="434">
        <v>25</v>
      </c>
      <c r="B161" s="374" t="s">
        <v>151</v>
      </c>
      <c r="C161" s="371"/>
      <c r="D161" s="372"/>
      <c r="E161" s="373"/>
      <c r="F161" s="373"/>
      <c r="G161" s="373"/>
      <c r="H161" s="373"/>
      <c r="I161" s="373"/>
      <c r="J161" s="373"/>
      <c r="K161" s="373"/>
      <c r="L161" s="373"/>
      <c r="M161" s="373"/>
      <c r="N161" s="373"/>
      <c r="O161" s="373"/>
      <c r="P161" s="429"/>
      <c r="Q161" s="431"/>
      <c r="R161" s="1230" t="s">
        <v>2566</v>
      </c>
      <c r="X161" s="155"/>
    </row>
    <row r="162" spans="1:24" ht="60">
      <c r="A162" s="948">
        <f>A161+0.01</f>
        <v>25.01</v>
      </c>
      <c r="B162" s="54" t="s">
        <v>1459</v>
      </c>
      <c r="C162" s="281" t="s">
        <v>1871</v>
      </c>
      <c r="D162" s="53"/>
      <c r="E162" s="27"/>
      <c r="F162" s="27"/>
      <c r="G162" s="27">
        <v>430</v>
      </c>
      <c r="H162" s="39">
        <v>450</v>
      </c>
      <c r="I162" s="39">
        <f>H162</f>
        <v>450</v>
      </c>
      <c r="J162" s="27">
        <f t="shared" si="63"/>
        <v>450</v>
      </c>
      <c r="K162" s="27">
        <v>600</v>
      </c>
      <c r="L162" s="27">
        <f t="shared" si="71"/>
        <v>660</v>
      </c>
      <c r="M162" s="39">
        <f t="shared" si="55"/>
        <v>660</v>
      </c>
      <c r="N162" s="39">
        <f t="shared" si="62"/>
        <v>660</v>
      </c>
      <c r="O162" s="39">
        <v>660</v>
      </c>
      <c r="P162" s="40">
        <f t="shared" si="73"/>
        <v>660</v>
      </c>
      <c r="Q162" s="29"/>
      <c r="R162" s="475">
        <v>644</v>
      </c>
      <c r="X162" s="155"/>
    </row>
    <row r="163" spans="1:24" ht="48">
      <c r="A163" s="948">
        <f t="shared" ref="A163:A165" si="74">A162+0.01</f>
        <v>25.020000000000003</v>
      </c>
      <c r="B163" s="54" t="s">
        <v>1460</v>
      </c>
      <c r="C163" s="281" t="s">
        <v>1871</v>
      </c>
      <c r="D163" s="53"/>
      <c r="E163" s="27"/>
      <c r="F163" s="27"/>
      <c r="G163" s="27">
        <v>430</v>
      </c>
      <c r="H163" s="39">
        <v>450</v>
      </c>
      <c r="I163" s="39">
        <f>H163</f>
        <v>450</v>
      </c>
      <c r="J163" s="27">
        <f t="shared" si="63"/>
        <v>450</v>
      </c>
      <c r="K163" s="27">
        <v>600</v>
      </c>
      <c r="L163" s="27">
        <f t="shared" si="71"/>
        <v>660</v>
      </c>
      <c r="M163" s="39">
        <f t="shared" si="55"/>
        <v>660</v>
      </c>
      <c r="N163" s="39">
        <f t="shared" si="62"/>
        <v>660</v>
      </c>
      <c r="O163" s="39">
        <v>660</v>
      </c>
      <c r="P163" s="40">
        <f t="shared" si="73"/>
        <v>660</v>
      </c>
      <c r="Q163" s="29"/>
      <c r="R163" s="475">
        <v>663</v>
      </c>
      <c r="X163" s="155"/>
    </row>
    <row r="164" spans="1:24" ht="48">
      <c r="A164" s="948">
        <f t="shared" si="74"/>
        <v>25.030000000000005</v>
      </c>
      <c r="B164" s="54" t="s">
        <v>1458</v>
      </c>
      <c r="C164" s="281" t="s">
        <v>1871</v>
      </c>
      <c r="D164" s="53"/>
      <c r="E164" s="27"/>
      <c r="F164" s="27"/>
      <c r="G164" s="27">
        <v>405</v>
      </c>
      <c r="H164" s="39">
        <v>425</v>
      </c>
      <c r="I164" s="39">
        <f>H164</f>
        <v>425</v>
      </c>
      <c r="J164" s="27">
        <f t="shared" si="63"/>
        <v>425</v>
      </c>
      <c r="K164" s="27">
        <v>600</v>
      </c>
      <c r="L164" s="27">
        <f t="shared" si="71"/>
        <v>660</v>
      </c>
      <c r="M164" s="39">
        <f t="shared" si="55"/>
        <v>660</v>
      </c>
      <c r="N164" s="39">
        <f t="shared" si="62"/>
        <v>660</v>
      </c>
      <c r="O164" s="39">
        <v>660</v>
      </c>
      <c r="P164" s="40">
        <f t="shared" si="73"/>
        <v>660</v>
      </c>
      <c r="Q164" s="29"/>
      <c r="R164" s="475">
        <v>663</v>
      </c>
      <c r="X164" s="155"/>
    </row>
    <row r="165" spans="1:24" ht="48">
      <c r="A165" s="948">
        <f t="shared" si="74"/>
        <v>25.040000000000006</v>
      </c>
      <c r="B165" s="54" t="s">
        <v>1461</v>
      </c>
      <c r="C165" s="281" t="s">
        <v>1871</v>
      </c>
      <c r="D165" s="53"/>
      <c r="E165" s="27"/>
      <c r="F165" s="27"/>
      <c r="G165" s="27">
        <v>500</v>
      </c>
      <c r="H165" s="39">
        <v>525</v>
      </c>
      <c r="I165" s="39">
        <f>H165</f>
        <v>525</v>
      </c>
      <c r="J165" s="27">
        <f t="shared" si="63"/>
        <v>525</v>
      </c>
      <c r="K165" s="27">
        <v>700</v>
      </c>
      <c r="L165" s="27">
        <f t="shared" si="71"/>
        <v>770.00000000000011</v>
      </c>
      <c r="M165" s="39">
        <f t="shared" si="55"/>
        <v>770.00000000000011</v>
      </c>
      <c r="N165" s="39">
        <f t="shared" si="62"/>
        <v>770.00000000000011</v>
      </c>
      <c r="O165" s="39">
        <v>770.00000000000011</v>
      </c>
      <c r="P165" s="40">
        <f t="shared" si="73"/>
        <v>770.00000000000011</v>
      </c>
      <c r="Q165" s="29"/>
      <c r="R165" s="475">
        <v>789</v>
      </c>
      <c r="X165" s="155"/>
    </row>
    <row r="166" spans="1:24" ht="20.25">
      <c r="A166" s="434">
        <v>26</v>
      </c>
      <c r="B166" s="370" t="s">
        <v>152</v>
      </c>
      <c r="C166" s="371"/>
      <c r="D166" s="372"/>
      <c r="E166" s="373"/>
      <c r="F166" s="373"/>
      <c r="G166" s="373"/>
      <c r="H166" s="373"/>
      <c r="I166" s="373"/>
      <c r="J166" s="373"/>
      <c r="K166" s="373"/>
      <c r="L166" s="373"/>
      <c r="M166" s="373"/>
      <c r="N166" s="373"/>
      <c r="O166" s="373"/>
      <c r="P166" s="429"/>
      <c r="Q166" s="431"/>
      <c r="R166" s="1267" t="s">
        <v>2567</v>
      </c>
      <c r="T166" s="1231" t="s">
        <v>2572</v>
      </c>
      <c r="X166" s="155"/>
    </row>
    <row r="167" spans="1:24" ht="18.75">
      <c r="A167" s="948">
        <f>A166+0.01</f>
        <v>26.01</v>
      </c>
      <c r="B167" s="72" t="s">
        <v>153</v>
      </c>
      <c r="C167" s="238" t="s">
        <v>1870</v>
      </c>
      <c r="D167" s="53"/>
      <c r="E167" s="27"/>
      <c r="F167" s="27"/>
      <c r="G167" s="27">
        <v>53</v>
      </c>
      <c r="H167" s="27">
        <v>149</v>
      </c>
      <c r="I167" s="27">
        <f t="shared" ref="I167:I174" si="75">H167</f>
        <v>149</v>
      </c>
      <c r="J167" s="27">
        <f t="shared" si="63"/>
        <v>149</v>
      </c>
      <c r="K167" s="27">
        <f t="shared" si="70"/>
        <v>149</v>
      </c>
      <c r="L167" s="27">
        <f>K167*1.15</f>
        <v>171.35</v>
      </c>
      <c r="M167" s="27">
        <f t="shared" si="55"/>
        <v>171.35</v>
      </c>
      <c r="N167" s="27">
        <f t="shared" si="62"/>
        <v>171.35</v>
      </c>
      <c r="O167" s="27">
        <v>171.35</v>
      </c>
      <c r="P167" s="28">
        <f>O167</f>
        <v>171.35</v>
      </c>
      <c r="Q167" s="29"/>
      <c r="R167" s="1219">
        <v>105</v>
      </c>
      <c r="T167" s="1269">
        <v>149</v>
      </c>
      <c r="X167" s="155"/>
    </row>
    <row r="168" spans="1:24" ht="18.75">
      <c r="A168" s="948">
        <f t="shared" ref="A168:A174" si="76">A167+0.01</f>
        <v>26.020000000000003</v>
      </c>
      <c r="B168" s="72" t="s">
        <v>155</v>
      </c>
      <c r="C168" s="238" t="s">
        <v>1870</v>
      </c>
      <c r="D168" s="53"/>
      <c r="E168" s="27"/>
      <c r="F168" s="27"/>
      <c r="G168" s="27">
        <v>73</v>
      </c>
      <c r="H168" s="27">
        <v>176</v>
      </c>
      <c r="I168" s="27">
        <f t="shared" si="75"/>
        <v>176</v>
      </c>
      <c r="J168" s="27">
        <f t="shared" si="63"/>
        <v>176</v>
      </c>
      <c r="K168" s="27">
        <f t="shared" si="70"/>
        <v>176</v>
      </c>
      <c r="L168" s="27">
        <f t="shared" ref="L168:L174" si="77">K168*1.15</f>
        <v>202.39999999999998</v>
      </c>
      <c r="M168" s="27">
        <f t="shared" si="55"/>
        <v>202.39999999999998</v>
      </c>
      <c r="N168" s="27">
        <f t="shared" si="62"/>
        <v>202.39999999999998</v>
      </c>
      <c r="O168" s="27">
        <v>202.39999999999998</v>
      </c>
      <c r="P168" s="28">
        <f t="shared" ref="P168:P169" si="78">O168</f>
        <v>202.39999999999998</v>
      </c>
      <c r="Q168" s="29"/>
      <c r="R168" s="1219">
        <v>143</v>
      </c>
      <c r="T168" s="1269">
        <v>176</v>
      </c>
      <c r="X168" s="155"/>
    </row>
    <row r="169" spans="1:24" ht="18.75">
      <c r="A169" s="948">
        <f t="shared" si="76"/>
        <v>26.030000000000005</v>
      </c>
      <c r="B169" s="72" t="s">
        <v>156</v>
      </c>
      <c r="C169" s="238" t="s">
        <v>1870</v>
      </c>
      <c r="D169" s="53"/>
      <c r="E169" s="27"/>
      <c r="F169" s="27"/>
      <c r="G169" s="27">
        <v>93</v>
      </c>
      <c r="H169" s="27">
        <v>231</v>
      </c>
      <c r="I169" s="27">
        <f t="shared" si="75"/>
        <v>231</v>
      </c>
      <c r="J169" s="27">
        <f t="shared" si="63"/>
        <v>231</v>
      </c>
      <c r="K169" s="27">
        <f t="shared" si="70"/>
        <v>231</v>
      </c>
      <c r="L169" s="27">
        <f t="shared" si="77"/>
        <v>265.64999999999998</v>
      </c>
      <c r="M169" s="27">
        <f t="shared" si="55"/>
        <v>265.64999999999998</v>
      </c>
      <c r="N169" s="27">
        <f t="shared" si="62"/>
        <v>265.64999999999998</v>
      </c>
      <c r="O169" s="27">
        <v>265.64999999999998</v>
      </c>
      <c r="P169" s="28">
        <f t="shared" si="78"/>
        <v>265.64999999999998</v>
      </c>
      <c r="Q169" s="29"/>
      <c r="R169" s="1219">
        <v>188</v>
      </c>
      <c r="T169" s="1269">
        <v>231</v>
      </c>
      <c r="X169" s="155"/>
    </row>
    <row r="170" spans="1:24" ht="36">
      <c r="A170" s="948">
        <f t="shared" si="76"/>
        <v>26.040000000000006</v>
      </c>
      <c r="B170" s="51" t="s">
        <v>2573</v>
      </c>
      <c r="C170" s="238" t="s">
        <v>1870</v>
      </c>
      <c r="D170" s="53"/>
      <c r="E170" s="27"/>
      <c r="F170" s="27"/>
      <c r="G170" s="27">
        <v>1122</v>
      </c>
      <c r="H170" s="27">
        <v>1375</v>
      </c>
      <c r="I170" s="27">
        <f t="shared" si="75"/>
        <v>1375</v>
      </c>
      <c r="J170" s="27">
        <f t="shared" si="63"/>
        <v>1375</v>
      </c>
      <c r="K170" s="27">
        <v>1400</v>
      </c>
      <c r="L170" s="27">
        <f t="shared" si="77"/>
        <v>1609.9999999999998</v>
      </c>
      <c r="M170" s="27">
        <f t="shared" si="55"/>
        <v>1609.9999999999998</v>
      </c>
      <c r="N170" s="27">
        <f t="shared" si="62"/>
        <v>1609.9999999999998</v>
      </c>
      <c r="O170" s="27">
        <v>1609.9999999999998</v>
      </c>
      <c r="P170" s="44">
        <f>TRUNC(O170*102.5%/5,2)*5</f>
        <v>1650.25</v>
      </c>
      <c r="Q170" s="1232"/>
      <c r="R170" s="1219">
        <v>1939</v>
      </c>
      <c r="T170" s="1269">
        <v>1375</v>
      </c>
      <c r="X170" s="155"/>
    </row>
    <row r="171" spans="1:24" ht="36">
      <c r="A171" s="948">
        <f t="shared" si="76"/>
        <v>26.050000000000008</v>
      </c>
      <c r="B171" s="51" t="s">
        <v>157</v>
      </c>
      <c r="C171" s="238" t="s">
        <v>1870</v>
      </c>
      <c r="D171" s="53"/>
      <c r="E171" s="27"/>
      <c r="F171" s="27"/>
      <c r="G171" s="27">
        <v>1023</v>
      </c>
      <c r="H171" s="27">
        <v>1265</v>
      </c>
      <c r="I171" s="27">
        <f t="shared" si="75"/>
        <v>1265</v>
      </c>
      <c r="J171" s="27">
        <f t="shared" si="63"/>
        <v>1265</v>
      </c>
      <c r="K171" s="27">
        <v>1300</v>
      </c>
      <c r="L171" s="27">
        <f t="shared" si="77"/>
        <v>1494.9999999999998</v>
      </c>
      <c r="M171" s="27">
        <f t="shared" si="55"/>
        <v>1494.9999999999998</v>
      </c>
      <c r="N171" s="27">
        <f t="shared" si="62"/>
        <v>1494.9999999999998</v>
      </c>
      <c r="O171" s="27">
        <v>1494.9999999999998</v>
      </c>
      <c r="P171" s="44">
        <f t="shared" ref="P171:P173" si="79">TRUNC(O171*102.5%/5,2)*5</f>
        <v>1532.3500000000001</v>
      </c>
      <c r="Q171" s="1232"/>
      <c r="R171" s="1219">
        <v>1592</v>
      </c>
      <c r="T171" s="1269">
        <v>1265</v>
      </c>
      <c r="X171" s="155"/>
    </row>
    <row r="172" spans="1:24" ht="36">
      <c r="A172" s="948">
        <f t="shared" si="76"/>
        <v>26.060000000000009</v>
      </c>
      <c r="B172" s="51" t="s">
        <v>158</v>
      </c>
      <c r="C172" s="238" t="s">
        <v>1870</v>
      </c>
      <c r="D172" s="53"/>
      <c r="E172" s="27"/>
      <c r="F172" s="27"/>
      <c r="G172" s="27">
        <v>848</v>
      </c>
      <c r="H172" s="27">
        <v>1089</v>
      </c>
      <c r="I172" s="27">
        <f t="shared" si="75"/>
        <v>1089</v>
      </c>
      <c r="J172" s="27">
        <f t="shared" si="63"/>
        <v>1089</v>
      </c>
      <c r="K172" s="27">
        <v>1100</v>
      </c>
      <c r="L172" s="27">
        <f t="shared" si="77"/>
        <v>1265</v>
      </c>
      <c r="M172" s="27">
        <f t="shared" si="55"/>
        <v>1265</v>
      </c>
      <c r="N172" s="27">
        <f t="shared" si="62"/>
        <v>1265</v>
      </c>
      <c r="O172" s="27">
        <v>1265</v>
      </c>
      <c r="P172" s="44">
        <f t="shared" si="79"/>
        <v>1296.5999999999999</v>
      </c>
      <c r="Q172" s="1232"/>
      <c r="R172" s="1219">
        <v>1418</v>
      </c>
      <c r="T172" s="1269">
        <v>1089</v>
      </c>
      <c r="X172" s="155"/>
    </row>
    <row r="173" spans="1:24" ht="36">
      <c r="A173" s="948">
        <f t="shared" si="76"/>
        <v>26.070000000000011</v>
      </c>
      <c r="B173" s="56" t="s">
        <v>159</v>
      </c>
      <c r="C173" s="238" t="s">
        <v>1870</v>
      </c>
      <c r="D173" s="53"/>
      <c r="E173" s="27"/>
      <c r="F173" s="27"/>
      <c r="G173" s="27">
        <v>748</v>
      </c>
      <c r="H173" s="27">
        <v>919</v>
      </c>
      <c r="I173" s="27">
        <f t="shared" si="75"/>
        <v>919</v>
      </c>
      <c r="J173" s="27">
        <f t="shared" si="63"/>
        <v>919</v>
      </c>
      <c r="K173" s="27">
        <v>1000</v>
      </c>
      <c r="L173" s="27">
        <f t="shared" si="77"/>
        <v>1150</v>
      </c>
      <c r="M173" s="27">
        <f t="shared" si="55"/>
        <v>1150</v>
      </c>
      <c r="N173" s="27">
        <f t="shared" si="62"/>
        <v>1150</v>
      </c>
      <c r="O173" s="27">
        <v>1150</v>
      </c>
      <c r="P173" s="44">
        <f t="shared" si="79"/>
        <v>1178.75</v>
      </c>
      <c r="Q173" s="1232"/>
      <c r="R173" s="1219">
        <v>1246</v>
      </c>
      <c r="T173" s="1269">
        <v>919</v>
      </c>
      <c r="X173" s="155"/>
    </row>
    <row r="174" spans="1:24" ht="18.75">
      <c r="A174" s="948">
        <f t="shared" si="76"/>
        <v>26.080000000000013</v>
      </c>
      <c r="B174" s="51" t="s">
        <v>160</v>
      </c>
      <c r="C174" s="238" t="s">
        <v>1770</v>
      </c>
      <c r="D174" s="53"/>
      <c r="E174" s="27"/>
      <c r="F174" s="27"/>
      <c r="G174" s="27">
        <v>260</v>
      </c>
      <c r="H174" s="27">
        <v>319</v>
      </c>
      <c r="I174" s="27">
        <f t="shared" si="75"/>
        <v>319</v>
      </c>
      <c r="J174" s="27">
        <f t="shared" si="63"/>
        <v>319</v>
      </c>
      <c r="K174" s="27">
        <v>350</v>
      </c>
      <c r="L174" s="27">
        <f t="shared" si="77"/>
        <v>402.49999999999994</v>
      </c>
      <c r="M174" s="27">
        <f t="shared" si="55"/>
        <v>402.49999999999994</v>
      </c>
      <c r="N174" s="27">
        <f t="shared" si="62"/>
        <v>402.49999999999994</v>
      </c>
      <c r="O174" s="27">
        <v>402.49999999999994</v>
      </c>
      <c r="P174" s="28">
        <f>O174</f>
        <v>402.49999999999994</v>
      </c>
      <c r="Q174" s="29"/>
      <c r="R174" s="475"/>
      <c r="T174" s="1269">
        <v>319</v>
      </c>
      <c r="X174" s="155"/>
    </row>
    <row r="175" spans="1:24" ht="24">
      <c r="A175" s="434">
        <v>27</v>
      </c>
      <c r="B175" s="391" t="s">
        <v>1402</v>
      </c>
      <c r="C175" s="371"/>
      <c r="D175" s="372"/>
      <c r="E175" s="373"/>
      <c r="F175" s="373"/>
      <c r="G175" s="373">
        <v>260</v>
      </c>
      <c r="H175" s="373"/>
      <c r="I175" s="373"/>
      <c r="J175" s="373">
        <f t="shared" si="63"/>
        <v>0</v>
      </c>
      <c r="K175" s="373">
        <f t="shared" si="70"/>
        <v>0</v>
      </c>
      <c r="L175" s="373"/>
      <c r="M175" s="373"/>
      <c r="N175" s="373"/>
      <c r="O175" s="373"/>
      <c r="P175" s="429"/>
      <c r="Q175" s="431"/>
      <c r="R175" s="1270" t="s">
        <v>2572</v>
      </c>
      <c r="X175" s="155"/>
    </row>
    <row r="176" spans="1:24" ht="19.5">
      <c r="A176" s="948">
        <f>A175+0.01</f>
        <v>27.01</v>
      </c>
      <c r="B176" s="359" t="s">
        <v>1400</v>
      </c>
      <c r="C176" s="238" t="s">
        <v>1871</v>
      </c>
      <c r="D176" s="360"/>
      <c r="E176" s="361"/>
      <c r="F176" s="361"/>
      <c r="G176" s="361">
        <v>260</v>
      </c>
      <c r="H176" s="43">
        <v>98</v>
      </c>
      <c r="I176" s="43">
        <f>H176</f>
        <v>98</v>
      </c>
      <c r="J176" s="27">
        <f t="shared" si="63"/>
        <v>98</v>
      </c>
      <c r="K176" s="27">
        <f t="shared" si="70"/>
        <v>98</v>
      </c>
      <c r="L176" s="27">
        <f t="shared" si="71"/>
        <v>107.80000000000001</v>
      </c>
      <c r="M176" s="27">
        <f t="shared" si="55"/>
        <v>107.80000000000001</v>
      </c>
      <c r="N176" s="27">
        <f t="shared" si="62"/>
        <v>107.80000000000001</v>
      </c>
      <c r="O176" s="27">
        <v>107.80000000000001</v>
      </c>
      <c r="P176" s="28">
        <f>O176</f>
        <v>107.80000000000001</v>
      </c>
      <c r="Q176" s="949"/>
      <c r="R176" s="1219">
        <v>98</v>
      </c>
      <c r="X176" s="155"/>
    </row>
    <row r="177" spans="1:24" ht="19.5">
      <c r="A177" s="948">
        <f>A176+0.01</f>
        <v>27.020000000000003</v>
      </c>
      <c r="B177" s="27" t="s">
        <v>1401</v>
      </c>
      <c r="C177" s="238" t="s">
        <v>1871</v>
      </c>
      <c r="D177" s="27"/>
      <c r="E177" s="27"/>
      <c r="F177" s="27"/>
      <c r="G177" s="27">
        <v>260</v>
      </c>
      <c r="H177" s="27">
        <v>51</v>
      </c>
      <c r="I177" s="27">
        <f>H177</f>
        <v>51</v>
      </c>
      <c r="J177" s="27">
        <f t="shared" si="63"/>
        <v>51</v>
      </c>
      <c r="K177" s="27">
        <f t="shared" si="70"/>
        <v>51</v>
      </c>
      <c r="L177" s="27">
        <f t="shared" si="71"/>
        <v>56.1</v>
      </c>
      <c r="M177" s="27">
        <f t="shared" si="55"/>
        <v>56.1</v>
      </c>
      <c r="N177" s="27">
        <f t="shared" si="62"/>
        <v>56.1</v>
      </c>
      <c r="O177" s="27">
        <v>56.1</v>
      </c>
      <c r="P177" s="28">
        <f>O177</f>
        <v>56.1</v>
      </c>
      <c r="Q177" s="29"/>
      <c r="R177" s="1219">
        <v>51</v>
      </c>
      <c r="X177" s="155"/>
    </row>
    <row r="178" spans="1:24" ht="18">
      <c r="A178" s="434">
        <v>28</v>
      </c>
      <c r="B178" s="393" t="s">
        <v>1547</v>
      </c>
      <c r="C178" s="371"/>
      <c r="D178" s="394"/>
      <c r="E178" s="395"/>
      <c r="F178" s="395"/>
      <c r="G178" s="395"/>
      <c r="H178" s="395"/>
      <c r="I178" s="395"/>
      <c r="J178" s="395"/>
      <c r="K178" s="395"/>
      <c r="L178" s="395"/>
      <c r="M178" s="395"/>
      <c r="N178" s="373"/>
      <c r="O178" s="373"/>
      <c r="P178" s="429"/>
      <c r="Q178" s="950"/>
      <c r="R178" s="1475" t="s">
        <v>2322</v>
      </c>
      <c r="X178" s="155"/>
    </row>
    <row r="179" spans="1:24" ht="19.5">
      <c r="A179" s="948">
        <f>A178+0.01</f>
        <v>28.01</v>
      </c>
      <c r="B179" s="368" t="s">
        <v>1548</v>
      </c>
      <c r="C179" s="238" t="s">
        <v>1787</v>
      </c>
      <c r="D179" s="362"/>
      <c r="E179" s="363"/>
      <c r="F179" s="363"/>
      <c r="G179" s="363"/>
      <c r="H179" s="207"/>
      <c r="I179" s="207"/>
      <c r="J179" s="207"/>
      <c r="K179" s="207"/>
      <c r="L179" s="207"/>
      <c r="M179" s="207">
        <v>144</v>
      </c>
      <c r="N179" s="27">
        <f t="shared" si="62"/>
        <v>144</v>
      </c>
      <c r="O179" s="27">
        <v>144</v>
      </c>
      <c r="P179" s="28">
        <f>O179</f>
        <v>144</v>
      </c>
      <c r="Q179" s="951"/>
      <c r="R179" s="478">
        <v>133</v>
      </c>
      <c r="X179" s="155"/>
    </row>
    <row r="180" spans="1:24" ht="19.5">
      <c r="A180" s="948">
        <f t="shared" ref="A180:A181" si="80">A179+0.01</f>
        <v>28.020000000000003</v>
      </c>
      <c r="B180" s="368" t="s">
        <v>1549</v>
      </c>
      <c r="C180" s="238" t="s">
        <v>1787</v>
      </c>
      <c r="D180" s="362"/>
      <c r="E180" s="363"/>
      <c r="F180" s="363"/>
      <c r="G180" s="363"/>
      <c r="H180" s="207"/>
      <c r="I180" s="207"/>
      <c r="J180" s="207"/>
      <c r="K180" s="207"/>
      <c r="L180" s="207"/>
      <c r="M180" s="207">
        <v>216</v>
      </c>
      <c r="N180" s="27">
        <f t="shared" si="62"/>
        <v>216</v>
      </c>
      <c r="O180" s="27">
        <v>216</v>
      </c>
      <c r="P180" s="28">
        <f t="shared" ref="P180:P181" si="81">O180</f>
        <v>216</v>
      </c>
      <c r="Q180" s="951"/>
      <c r="R180" s="478">
        <v>199</v>
      </c>
      <c r="X180" s="155"/>
    </row>
    <row r="181" spans="1:24" ht="20.25">
      <c r="A181" s="948">
        <f t="shared" si="80"/>
        <v>28.030000000000005</v>
      </c>
      <c r="B181" s="368" t="s">
        <v>1550</v>
      </c>
      <c r="C181" s="238" t="s">
        <v>1787</v>
      </c>
      <c r="D181" s="364"/>
      <c r="E181" s="365"/>
      <c r="F181" s="365"/>
      <c r="G181" s="365"/>
      <c r="H181" s="366"/>
      <c r="I181" s="207"/>
      <c r="J181" s="207"/>
      <c r="K181" s="207"/>
      <c r="L181" s="207"/>
      <c r="M181" s="207">
        <v>288</v>
      </c>
      <c r="N181" s="27">
        <f t="shared" si="62"/>
        <v>288</v>
      </c>
      <c r="O181" s="27">
        <v>288</v>
      </c>
      <c r="P181" s="28">
        <f t="shared" si="81"/>
        <v>288</v>
      </c>
      <c r="Q181" s="951"/>
      <c r="R181" s="478">
        <v>264</v>
      </c>
      <c r="X181" s="155"/>
    </row>
    <row r="182" spans="1:24" ht="18">
      <c r="A182" s="434">
        <v>29</v>
      </c>
      <c r="B182" s="375" t="s">
        <v>1712</v>
      </c>
      <c r="C182" s="371"/>
      <c r="D182" s="396"/>
      <c r="E182" s="397"/>
      <c r="F182" s="397"/>
      <c r="G182" s="397"/>
      <c r="H182" s="397"/>
      <c r="I182" s="397"/>
      <c r="J182" s="397"/>
      <c r="K182" s="397"/>
      <c r="L182" s="397"/>
      <c r="M182" s="331"/>
      <c r="N182" s="373"/>
      <c r="O182" s="373"/>
      <c r="P182" s="429"/>
      <c r="Q182" s="431"/>
      <c r="R182" s="476"/>
      <c r="X182" s="155"/>
    </row>
    <row r="183" spans="1:24" ht="36">
      <c r="A183" s="948">
        <f>A182+0.01</f>
        <v>29.01</v>
      </c>
      <c r="B183" s="51" t="s">
        <v>1713</v>
      </c>
      <c r="C183" s="238" t="s">
        <v>1871</v>
      </c>
      <c r="D183" s="191"/>
      <c r="E183" s="192"/>
      <c r="F183" s="192"/>
      <c r="G183" s="192"/>
      <c r="H183" s="192"/>
      <c r="I183" s="192"/>
      <c r="J183" s="192"/>
      <c r="K183" s="192"/>
      <c r="L183" s="192"/>
      <c r="M183" s="207">
        <v>138</v>
      </c>
      <c r="N183" s="27">
        <f t="shared" si="62"/>
        <v>138</v>
      </c>
      <c r="O183" s="27">
        <v>138</v>
      </c>
      <c r="P183" s="28">
        <f>O183</f>
        <v>138</v>
      </c>
      <c r="Q183" s="29"/>
      <c r="R183" s="475"/>
      <c r="X183" s="155"/>
    </row>
    <row r="184" spans="1:24" ht="36">
      <c r="A184" s="948">
        <f t="shared" ref="A184:A186" si="82">A183+0.01</f>
        <v>29.020000000000003</v>
      </c>
      <c r="B184" s="51" t="s">
        <v>1714</v>
      </c>
      <c r="C184" s="238" t="s">
        <v>1871</v>
      </c>
      <c r="D184" s="191"/>
      <c r="E184" s="192"/>
      <c r="F184" s="192"/>
      <c r="G184" s="192"/>
      <c r="H184" s="192"/>
      <c r="I184" s="192"/>
      <c r="J184" s="192"/>
      <c r="K184" s="192"/>
      <c r="L184" s="192"/>
      <c r="M184" s="207">
        <v>143</v>
      </c>
      <c r="N184" s="27">
        <f t="shared" si="62"/>
        <v>143</v>
      </c>
      <c r="O184" s="27">
        <v>143</v>
      </c>
      <c r="P184" s="28">
        <f t="shared" ref="P184:P186" si="83">O184</f>
        <v>143</v>
      </c>
      <c r="Q184" s="29"/>
      <c r="R184" s="475"/>
      <c r="X184" s="155"/>
    </row>
    <row r="185" spans="1:24" ht="24">
      <c r="A185" s="948">
        <f t="shared" si="82"/>
        <v>29.030000000000005</v>
      </c>
      <c r="B185" s="51" t="s">
        <v>1715</v>
      </c>
      <c r="C185" s="238" t="s">
        <v>1870</v>
      </c>
      <c r="D185" s="191"/>
      <c r="E185" s="192"/>
      <c r="F185" s="192"/>
      <c r="G185" s="192"/>
      <c r="H185" s="192"/>
      <c r="I185" s="192"/>
      <c r="J185" s="192"/>
      <c r="K185" s="192"/>
      <c r="L185" s="192"/>
      <c r="M185" s="207">
        <v>381</v>
      </c>
      <c r="N185" s="27">
        <f t="shared" si="62"/>
        <v>381</v>
      </c>
      <c r="O185" s="27">
        <v>381</v>
      </c>
      <c r="P185" s="28">
        <f t="shared" si="83"/>
        <v>381</v>
      </c>
      <c r="Q185" s="29"/>
      <c r="R185" s="475"/>
      <c r="X185" s="155"/>
    </row>
    <row r="186" spans="1:24" ht="24">
      <c r="A186" s="948">
        <f t="shared" si="82"/>
        <v>29.040000000000006</v>
      </c>
      <c r="B186" s="51" t="s">
        <v>1716</v>
      </c>
      <c r="C186" s="238" t="s">
        <v>1870</v>
      </c>
      <c r="D186" s="191"/>
      <c r="E186" s="192"/>
      <c r="F186" s="192"/>
      <c r="G186" s="192"/>
      <c r="H186" s="192"/>
      <c r="I186" s="192"/>
      <c r="J186" s="192"/>
      <c r="K186" s="192"/>
      <c r="L186" s="192"/>
      <c r="M186" s="207">
        <v>501</v>
      </c>
      <c r="N186" s="27">
        <f t="shared" si="62"/>
        <v>501</v>
      </c>
      <c r="O186" s="27">
        <v>501</v>
      </c>
      <c r="P186" s="28">
        <f t="shared" si="83"/>
        <v>501</v>
      </c>
      <c r="Q186" s="29"/>
      <c r="R186" s="475"/>
      <c r="X186" s="155"/>
    </row>
    <row r="187" spans="1:24" ht="18">
      <c r="A187" s="434">
        <v>30</v>
      </c>
      <c r="B187" s="375" t="s">
        <v>1717</v>
      </c>
      <c r="C187" s="371"/>
      <c r="D187" s="396"/>
      <c r="E187" s="397"/>
      <c r="F187" s="397"/>
      <c r="G187" s="397"/>
      <c r="H187" s="397"/>
      <c r="I187" s="397"/>
      <c r="J187" s="397"/>
      <c r="K187" s="397"/>
      <c r="L187" s="331"/>
      <c r="M187" s="395"/>
      <c r="N187" s="373"/>
      <c r="O187" s="373"/>
      <c r="P187" s="429"/>
      <c r="Q187" s="431"/>
      <c r="R187" s="476"/>
      <c r="X187" s="155"/>
    </row>
    <row r="188" spans="1:24" ht="18">
      <c r="A188" s="948">
        <f>A187+0.01</f>
        <v>30.01</v>
      </c>
      <c r="B188" s="51" t="s">
        <v>1718</v>
      </c>
      <c r="C188" s="238" t="s">
        <v>1871</v>
      </c>
      <c r="D188" s="191"/>
      <c r="E188" s="192"/>
      <c r="F188" s="192"/>
      <c r="G188" s="192"/>
      <c r="H188" s="192"/>
      <c r="I188" s="192"/>
      <c r="J188" s="192"/>
      <c r="K188" s="192"/>
      <c r="L188" s="192"/>
      <c r="M188" s="207">
        <v>708</v>
      </c>
      <c r="N188" s="27">
        <f t="shared" ref="N188:N191" si="84">M188</f>
        <v>708</v>
      </c>
      <c r="O188" s="27">
        <v>708</v>
      </c>
      <c r="P188" s="28">
        <f>O188</f>
        <v>708</v>
      </c>
      <c r="Q188" s="29"/>
      <c r="R188" s="475"/>
      <c r="X188" s="155"/>
    </row>
    <row r="189" spans="1:24" ht="18">
      <c r="A189" s="948">
        <f t="shared" ref="A189:A191" si="85">A188+0.01</f>
        <v>30.020000000000003</v>
      </c>
      <c r="B189" s="51" t="s">
        <v>1719</v>
      </c>
      <c r="C189" s="238" t="s">
        <v>1871</v>
      </c>
      <c r="D189" s="191"/>
      <c r="E189" s="192"/>
      <c r="F189" s="192"/>
      <c r="G189" s="192"/>
      <c r="H189" s="192"/>
      <c r="I189" s="192"/>
      <c r="J189" s="192"/>
      <c r="K189" s="192"/>
      <c r="L189" s="192"/>
      <c r="M189" s="207">
        <v>796</v>
      </c>
      <c r="N189" s="27">
        <f t="shared" si="84"/>
        <v>796</v>
      </c>
      <c r="O189" s="27">
        <v>796</v>
      </c>
      <c r="P189" s="28">
        <f t="shared" ref="P189:P191" si="86">O189</f>
        <v>796</v>
      </c>
      <c r="Q189" s="29"/>
      <c r="R189" s="475"/>
      <c r="X189" s="155"/>
    </row>
    <row r="190" spans="1:24" ht="18">
      <c r="A190" s="948">
        <f t="shared" si="85"/>
        <v>30.030000000000005</v>
      </c>
      <c r="B190" s="51" t="s">
        <v>1720</v>
      </c>
      <c r="C190" s="238" t="s">
        <v>1871</v>
      </c>
      <c r="D190" s="191"/>
      <c r="E190" s="192"/>
      <c r="F190" s="192"/>
      <c r="G190" s="192"/>
      <c r="H190" s="192"/>
      <c r="I190" s="192"/>
      <c r="J190" s="192"/>
      <c r="K190" s="192"/>
      <c r="L190" s="192"/>
      <c r="M190" s="207">
        <v>1195</v>
      </c>
      <c r="N190" s="27">
        <f t="shared" si="84"/>
        <v>1195</v>
      </c>
      <c r="O190" s="27">
        <v>1195</v>
      </c>
      <c r="P190" s="28">
        <f t="shared" si="86"/>
        <v>1195</v>
      </c>
      <c r="Q190" s="29"/>
      <c r="R190" s="475"/>
      <c r="X190" s="155"/>
    </row>
    <row r="191" spans="1:24" ht="18">
      <c r="A191" s="948">
        <f t="shared" si="85"/>
        <v>30.040000000000006</v>
      </c>
      <c r="B191" s="51" t="s">
        <v>1721</v>
      </c>
      <c r="C191" s="238" t="s">
        <v>1871</v>
      </c>
      <c r="D191" s="191"/>
      <c r="E191" s="192"/>
      <c r="F191" s="192"/>
      <c r="G191" s="192"/>
      <c r="H191" s="192"/>
      <c r="I191" s="192"/>
      <c r="J191" s="192"/>
      <c r="K191" s="192"/>
      <c r="L191" s="192"/>
      <c r="M191" s="207">
        <v>310</v>
      </c>
      <c r="N191" s="27">
        <f t="shared" si="84"/>
        <v>310</v>
      </c>
      <c r="O191" s="27">
        <v>310</v>
      </c>
      <c r="P191" s="28">
        <f t="shared" si="86"/>
        <v>310</v>
      </c>
      <c r="Q191" s="29"/>
      <c r="R191" s="475"/>
      <c r="X191" s="155"/>
    </row>
    <row r="192" spans="1:24" ht="18" customHeight="1">
      <c r="A192" s="434">
        <v>31</v>
      </c>
      <c r="B192" s="1042" t="s">
        <v>2521</v>
      </c>
      <c r="C192" s="371"/>
      <c r="D192" s="396"/>
      <c r="E192" s="397"/>
      <c r="F192" s="397"/>
      <c r="G192" s="397"/>
      <c r="H192" s="397"/>
      <c r="I192" s="397"/>
      <c r="J192" s="397"/>
      <c r="K192" s="397"/>
      <c r="L192" s="331"/>
      <c r="M192" s="395"/>
      <c r="N192" s="373"/>
      <c r="O192" s="373"/>
      <c r="P192" s="429"/>
      <c r="Q192" s="431"/>
      <c r="R192" s="1080"/>
      <c r="S192" s="1017" t="s">
        <v>2479</v>
      </c>
      <c r="T192" s="1017" t="s">
        <v>2480</v>
      </c>
      <c r="U192" s="1017"/>
      <c r="V192" s="1017"/>
      <c r="W192" s="1017"/>
    </row>
    <row r="193" spans="1:23" ht="24">
      <c r="A193" s="948">
        <f>A192+0.01</f>
        <v>31.01</v>
      </c>
      <c r="B193" s="54" t="s">
        <v>2473</v>
      </c>
      <c r="C193" s="238" t="s">
        <v>1870</v>
      </c>
      <c r="D193" s="25"/>
      <c r="E193" s="117"/>
      <c r="F193" s="117"/>
      <c r="G193" s="117"/>
      <c r="H193" s="117"/>
      <c r="I193" s="117"/>
      <c r="J193" s="117"/>
      <c r="K193" s="117"/>
      <c r="L193" s="117"/>
      <c r="M193" s="909" t="s">
        <v>2160</v>
      </c>
      <c r="N193" s="909" t="s">
        <v>2160</v>
      </c>
      <c r="O193" s="27">
        <v>270</v>
      </c>
      <c r="P193" s="28">
        <f>O193</f>
        <v>270</v>
      </c>
      <c r="Q193" s="1035"/>
      <c r="R193" s="1080"/>
      <c r="S193" s="354">
        <v>265</v>
      </c>
      <c r="T193" s="354">
        <v>280</v>
      </c>
      <c r="U193" s="354"/>
      <c r="V193" s="354"/>
      <c r="W193" s="354"/>
    </row>
    <row r="194" spans="1:23" ht="24">
      <c r="A194" s="948">
        <f t="shared" ref="A194:A198" si="87">A193+0.01</f>
        <v>31.020000000000003</v>
      </c>
      <c r="B194" s="54" t="s">
        <v>2474</v>
      </c>
      <c r="C194" s="238" t="s">
        <v>1870</v>
      </c>
      <c r="D194" s="25"/>
      <c r="E194" s="117"/>
      <c r="F194" s="117"/>
      <c r="G194" s="117"/>
      <c r="H194" s="117"/>
      <c r="I194" s="117"/>
      <c r="J194" s="117"/>
      <c r="K194" s="117"/>
      <c r="L194" s="117"/>
      <c r="M194" s="909" t="s">
        <v>2160</v>
      </c>
      <c r="N194" s="909" t="s">
        <v>2160</v>
      </c>
      <c r="O194" s="27">
        <v>280</v>
      </c>
      <c r="P194" s="28">
        <f t="shared" ref="P194:P198" si="88">O194</f>
        <v>280</v>
      </c>
      <c r="Q194" s="1035"/>
      <c r="R194" s="1080"/>
      <c r="S194" s="354">
        <v>275</v>
      </c>
      <c r="T194" s="354">
        <v>305</v>
      </c>
      <c r="U194" s="354"/>
      <c r="V194" s="354"/>
      <c r="W194" s="354"/>
    </row>
    <row r="195" spans="1:23" ht="48">
      <c r="A195" s="948">
        <f t="shared" si="87"/>
        <v>31.030000000000005</v>
      </c>
      <c r="B195" s="54" t="s">
        <v>2475</v>
      </c>
      <c r="C195" s="281" t="s">
        <v>1871</v>
      </c>
      <c r="D195" s="25"/>
      <c r="E195" s="117"/>
      <c r="F195" s="117"/>
      <c r="G195" s="117"/>
      <c r="H195" s="117"/>
      <c r="I195" s="117"/>
      <c r="J195" s="117"/>
      <c r="K195" s="117"/>
      <c r="L195" s="117"/>
      <c r="M195" s="909" t="s">
        <v>2160</v>
      </c>
      <c r="N195" s="909" t="s">
        <v>2160</v>
      </c>
      <c r="O195" s="27">
        <v>680</v>
      </c>
      <c r="P195" s="28">
        <f t="shared" si="88"/>
        <v>680</v>
      </c>
      <c r="Q195" s="1035"/>
      <c r="R195" s="1043"/>
      <c r="S195" s="354">
        <v>680</v>
      </c>
      <c r="T195" s="354">
        <v>680</v>
      </c>
      <c r="U195" s="354"/>
      <c r="V195" s="354"/>
      <c r="W195" s="354"/>
    </row>
    <row r="196" spans="1:23" ht="48">
      <c r="A196" s="948">
        <f t="shared" si="87"/>
        <v>31.040000000000006</v>
      </c>
      <c r="B196" s="54" t="s">
        <v>2476</v>
      </c>
      <c r="C196" s="281" t="s">
        <v>1871</v>
      </c>
      <c r="D196" s="25"/>
      <c r="E196" s="117"/>
      <c r="F196" s="117"/>
      <c r="G196" s="117"/>
      <c r="H196" s="117"/>
      <c r="I196" s="117"/>
      <c r="J196" s="117"/>
      <c r="K196" s="117"/>
      <c r="L196" s="117"/>
      <c r="M196" s="909" t="s">
        <v>2160</v>
      </c>
      <c r="N196" s="909" t="s">
        <v>2160</v>
      </c>
      <c r="O196" s="27">
        <v>680</v>
      </c>
      <c r="P196" s="28">
        <f t="shared" si="88"/>
        <v>680</v>
      </c>
      <c r="Q196" s="1035"/>
      <c r="R196" s="1043"/>
      <c r="S196" s="354">
        <v>680</v>
      </c>
      <c r="T196" s="354">
        <v>680</v>
      </c>
      <c r="U196" s="354"/>
      <c r="V196" s="354"/>
      <c r="W196" s="354"/>
    </row>
    <row r="197" spans="1:23" ht="48">
      <c r="A197" s="948">
        <f t="shared" si="87"/>
        <v>31.050000000000008</v>
      </c>
      <c r="B197" s="54" t="s">
        <v>2477</v>
      </c>
      <c r="C197" s="281" t="s">
        <v>1871</v>
      </c>
      <c r="D197" s="25"/>
      <c r="E197" s="117"/>
      <c r="F197" s="117"/>
      <c r="G197" s="117"/>
      <c r="H197" s="117"/>
      <c r="I197" s="117"/>
      <c r="J197" s="117"/>
      <c r="K197" s="117"/>
      <c r="L197" s="117"/>
      <c r="M197" s="909" t="s">
        <v>2160</v>
      </c>
      <c r="N197" s="909" t="s">
        <v>2160</v>
      </c>
      <c r="O197" s="27">
        <v>590</v>
      </c>
      <c r="P197" s="28">
        <f t="shared" si="88"/>
        <v>590</v>
      </c>
      <c r="Q197" s="1035"/>
      <c r="R197" s="1043"/>
      <c r="S197" s="354">
        <v>590</v>
      </c>
      <c r="T197" s="354">
        <v>590</v>
      </c>
      <c r="U197" s="354"/>
      <c r="V197" s="354"/>
      <c r="W197" s="354"/>
    </row>
    <row r="198" spans="1:23" ht="24">
      <c r="A198" s="948">
        <f t="shared" si="87"/>
        <v>31.060000000000009</v>
      </c>
      <c r="B198" s="54" t="s">
        <v>2478</v>
      </c>
      <c r="C198" s="281" t="s">
        <v>1770</v>
      </c>
      <c r="D198" s="25"/>
      <c r="E198" s="117"/>
      <c r="F198" s="117"/>
      <c r="G198" s="117"/>
      <c r="H198" s="117"/>
      <c r="I198" s="117"/>
      <c r="J198" s="117"/>
      <c r="K198" s="117"/>
      <c r="L198" s="117"/>
      <c r="M198" s="909" t="s">
        <v>2160</v>
      </c>
      <c r="N198" s="909" t="s">
        <v>2160</v>
      </c>
      <c r="O198" s="27">
        <v>210</v>
      </c>
      <c r="P198" s="28">
        <f t="shared" si="88"/>
        <v>210</v>
      </c>
      <c r="Q198" s="1035"/>
      <c r="R198" s="1043"/>
      <c r="S198" s="354">
        <v>210</v>
      </c>
      <c r="T198" s="354">
        <v>210</v>
      </c>
      <c r="U198" s="354"/>
      <c r="V198" s="354"/>
      <c r="W198" s="354"/>
    </row>
    <row r="199" spans="1:23" ht="17.45" customHeight="1">
      <c r="A199" s="1081">
        <v>32</v>
      </c>
      <c r="B199" s="1044" t="s">
        <v>2522</v>
      </c>
      <c r="C199" s="878"/>
      <c r="D199" s="878"/>
      <c r="E199" s="1045"/>
      <c r="F199" s="1045"/>
      <c r="G199" s="1045"/>
      <c r="H199" s="1045"/>
      <c r="I199" s="1045"/>
      <c r="J199" s="1045"/>
      <c r="K199" s="1045"/>
      <c r="L199" s="1045"/>
      <c r="M199" s="1045"/>
      <c r="N199" s="1045"/>
      <c r="O199" s="1045"/>
      <c r="P199" s="1200"/>
      <c r="Q199" s="1082"/>
    </row>
    <row r="200" spans="1:23" ht="22.5">
      <c r="A200" s="1322">
        <f>A199+0.01</f>
        <v>32.01</v>
      </c>
      <c r="B200" s="1323" t="s">
        <v>2522</v>
      </c>
      <c r="C200" s="1324" t="s">
        <v>1871</v>
      </c>
      <c r="D200" s="1325"/>
      <c r="E200" s="1326"/>
      <c r="F200" s="1326"/>
      <c r="G200" s="1326"/>
      <c r="H200" s="1326"/>
      <c r="I200" s="1326"/>
      <c r="J200" s="1326"/>
      <c r="K200" s="1326"/>
      <c r="L200" s="1326"/>
      <c r="M200" s="1327" t="s">
        <v>2160</v>
      </c>
      <c r="N200" s="1327" t="s">
        <v>2160</v>
      </c>
      <c r="O200" s="43">
        <v>228.63</v>
      </c>
      <c r="P200" s="43">
        <f>O200*105%</f>
        <v>240.0615</v>
      </c>
      <c r="Q200" s="1328"/>
      <c r="R200" s="13" t="s">
        <v>2523</v>
      </c>
      <c r="T200" s="1331"/>
    </row>
    <row r="201" spans="1:23" ht="19.149999999999999" customHeight="1">
      <c r="A201" s="878">
        <v>33</v>
      </c>
      <c r="B201" s="1044" t="s">
        <v>2644</v>
      </c>
      <c r="C201" s="878"/>
      <c r="D201" s="878"/>
      <c r="E201" s="1045"/>
      <c r="F201" s="1045"/>
      <c r="G201" s="1045"/>
      <c r="H201" s="1045"/>
      <c r="I201" s="1045"/>
      <c r="J201" s="1045"/>
      <c r="K201" s="1045"/>
      <c r="L201" s="1045"/>
      <c r="M201" s="1045"/>
      <c r="N201" s="1045"/>
      <c r="O201" s="1045"/>
      <c r="P201" s="1045"/>
      <c r="Q201" s="1329"/>
      <c r="R201" s="1333" t="s">
        <v>2625</v>
      </c>
      <c r="S201" s="1333" t="s">
        <v>2626</v>
      </c>
      <c r="T201" s="1333" t="s">
        <v>1755</v>
      </c>
      <c r="U201" s="1334" t="s">
        <v>2650</v>
      </c>
    </row>
    <row r="202" spans="1:23" ht="18">
      <c r="A202" s="1330">
        <f>A201+0.01</f>
        <v>33.01</v>
      </c>
      <c r="B202" s="772" t="s">
        <v>2641</v>
      </c>
      <c r="C202" s="281" t="s">
        <v>1488</v>
      </c>
      <c r="D202" s="25"/>
      <c r="E202" s="117"/>
      <c r="F202" s="117"/>
      <c r="G202" s="117"/>
      <c r="H202" s="117"/>
      <c r="I202" s="117"/>
      <c r="J202" s="117"/>
      <c r="K202" s="117"/>
      <c r="L202" s="117"/>
      <c r="M202" s="117"/>
      <c r="N202" s="909" t="s">
        <v>2160</v>
      </c>
      <c r="O202" s="909" t="s">
        <v>2160</v>
      </c>
      <c r="P202" s="43">
        <v>750</v>
      </c>
      <c r="Q202" s="34"/>
      <c r="R202" s="60">
        <v>900</v>
      </c>
      <c r="S202" s="60">
        <v>900</v>
      </c>
      <c r="T202" s="60">
        <v>732</v>
      </c>
      <c r="U202" s="13">
        <f>TRUNC(103%*T202,0)</f>
        <v>753</v>
      </c>
    </row>
    <row r="203" spans="1:23" ht="18">
      <c r="A203" s="1330">
        <f>A202+0.01</f>
        <v>33.019999999999996</v>
      </c>
      <c r="B203" s="772" t="s">
        <v>2642</v>
      </c>
      <c r="C203" s="281" t="s">
        <v>1488</v>
      </c>
      <c r="D203" s="25"/>
      <c r="E203" s="117"/>
      <c r="F203" s="117"/>
      <c r="G203" s="117"/>
      <c r="H203" s="117"/>
      <c r="I203" s="117"/>
      <c r="J203" s="117"/>
      <c r="K203" s="117"/>
      <c r="L203" s="117"/>
      <c r="M203" s="117"/>
      <c r="N203" s="909" t="s">
        <v>2160</v>
      </c>
      <c r="O203" s="909" t="s">
        <v>2160</v>
      </c>
      <c r="P203" s="43">
        <v>1000</v>
      </c>
      <c r="Q203" s="34"/>
      <c r="R203" s="60">
        <v>1120</v>
      </c>
      <c r="S203" s="60">
        <v>1120</v>
      </c>
      <c r="T203" s="60">
        <v>976</v>
      </c>
      <c r="U203" s="13">
        <f t="shared" ref="U203:U204" si="89">TRUNC(103%*T203,0)</f>
        <v>1005</v>
      </c>
    </row>
    <row r="204" spans="1:23" ht="18">
      <c r="A204" s="1330">
        <f>A203+0.01</f>
        <v>33.029999999999994</v>
      </c>
      <c r="B204" s="772" t="s">
        <v>2643</v>
      </c>
      <c r="C204" s="281" t="s">
        <v>1488</v>
      </c>
      <c r="D204" s="25"/>
      <c r="E204" s="117"/>
      <c r="F204" s="117"/>
      <c r="G204" s="117"/>
      <c r="H204" s="117"/>
      <c r="I204" s="117"/>
      <c r="J204" s="117"/>
      <c r="K204" s="117"/>
      <c r="L204" s="117"/>
      <c r="M204" s="117"/>
      <c r="N204" s="909" t="s">
        <v>2160</v>
      </c>
      <c r="O204" s="909" t="s">
        <v>2160</v>
      </c>
      <c r="P204" s="43">
        <v>1250</v>
      </c>
      <c r="Q204" s="34"/>
      <c r="R204" s="60">
        <v>1550</v>
      </c>
      <c r="S204" s="60">
        <v>1550</v>
      </c>
      <c r="T204" s="60">
        <v>1222</v>
      </c>
      <c r="U204" s="13">
        <f t="shared" si="89"/>
        <v>1258</v>
      </c>
    </row>
    <row r="205" spans="1:23" ht="18">
      <c r="A205" s="1330">
        <f>A204+0.01</f>
        <v>33.039999999999992</v>
      </c>
      <c r="B205" s="772" t="s">
        <v>2645</v>
      </c>
      <c r="C205" s="281" t="s">
        <v>1488</v>
      </c>
      <c r="D205" s="25"/>
      <c r="E205" s="117"/>
      <c r="F205" s="117"/>
      <c r="G205" s="117"/>
      <c r="H205" s="117"/>
      <c r="I205" s="117"/>
      <c r="J205" s="117"/>
      <c r="K205" s="117"/>
      <c r="L205" s="117"/>
      <c r="M205" s="117"/>
      <c r="N205" s="909" t="s">
        <v>2160</v>
      </c>
      <c r="O205" s="909" t="s">
        <v>2160</v>
      </c>
      <c r="P205" s="43">
        <f>P202</f>
        <v>750</v>
      </c>
      <c r="Q205" s="34"/>
      <c r="R205" s="60">
        <f>R202</f>
        <v>900</v>
      </c>
      <c r="S205" s="60">
        <v>900</v>
      </c>
      <c r="T205" s="60"/>
    </row>
    <row r="206" spans="1:23" ht="18">
      <c r="A206" s="1330">
        <f t="shared" ref="A206:A207" si="90">A205+0.01</f>
        <v>33.04999999999999</v>
      </c>
      <c r="B206" s="772" t="s">
        <v>2646</v>
      </c>
      <c r="C206" s="281" t="s">
        <v>1488</v>
      </c>
      <c r="D206" s="25"/>
      <c r="E206" s="117"/>
      <c r="F206" s="117"/>
      <c r="G206" s="117"/>
      <c r="H206" s="117"/>
      <c r="I206" s="117"/>
      <c r="J206" s="117"/>
      <c r="K206" s="117"/>
      <c r="L206" s="117"/>
      <c r="M206" s="117"/>
      <c r="N206" s="909" t="s">
        <v>2160</v>
      </c>
      <c r="O206" s="909" t="s">
        <v>2160</v>
      </c>
      <c r="P206" s="43">
        <f t="shared" ref="P206:P207" si="91">P203</f>
        <v>1000</v>
      </c>
      <c r="Q206" s="34"/>
      <c r="R206" s="60">
        <f t="shared" ref="R206:R207" si="92">R203</f>
        <v>1120</v>
      </c>
      <c r="S206" s="60">
        <v>1120</v>
      </c>
      <c r="T206" s="60"/>
    </row>
    <row r="207" spans="1:23" ht="18">
      <c r="A207" s="1330">
        <f t="shared" si="90"/>
        <v>33.059999999999988</v>
      </c>
      <c r="B207" s="772" t="s">
        <v>2647</v>
      </c>
      <c r="C207" s="281" t="s">
        <v>1488</v>
      </c>
      <c r="D207" s="25"/>
      <c r="E207" s="117"/>
      <c r="F207" s="117"/>
      <c r="G207" s="117"/>
      <c r="H207" s="117"/>
      <c r="I207" s="117"/>
      <c r="J207" s="117"/>
      <c r="K207" s="117"/>
      <c r="L207" s="117"/>
      <c r="M207" s="117"/>
      <c r="N207" s="909" t="s">
        <v>2160</v>
      </c>
      <c r="O207" s="909" t="s">
        <v>2160</v>
      </c>
      <c r="P207" s="43">
        <f t="shared" si="91"/>
        <v>1250</v>
      </c>
      <c r="Q207" s="34"/>
      <c r="R207" s="60">
        <f t="shared" si="92"/>
        <v>1550</v>
      </c>
      <c r="S207" s="60">
        <v>1550</v>
      </c>
      <c r="T207" s="60"/>
    </row>
    <row r="208" spans="1:23" s="1332" customFormat="1" ht="37.15" customHeight="1">
      <c r="A208" s="1332">
        <v>34</v>
      </c>
      <c r="B208" s="1476" t="s">
        <v>2891</v>
      </c>
      <c r="R208" s="1333" t="s">
        <v>2625</v>
      </c>
      <c r="S208" s="1333" t="s">
        <v>2626</v>
      </c>
      <c r="T208" s="1333" t="s">
        <v>1755</v>
      </c>
      <c r="U208" s="1334" t="s">
        <v>2650</v>
      </c>
    </row>
    <row r="209" spans="1:20" ht="19.5">
      <c r="A209" s="1330">
        <f>A208+0.01</f>
        <v>34.01</v>
      </c>
      <c r="B209" s="277" t="s">
        <v>2648</v>
      </c>
      <c r="C209" s="281" t="s">
        <v>1488</v>
      </c>
      <c r="D209" s="25"/>
      <c r="E209" s="117"/>
      <c r="F209" s="117"/>
      <c r="G209" s="117"/>
      <c r="H209" s="117"/>
      <c r="I209" s="117"/>
      <c r="J209" s="117"/>
      <c r="K209" s="117"/>
      <c r="L209" s="117"/>
      <c r="M209" s="117"/>
      <c r="N209" s="909" t="s">
        <v>2160</v>
      </c>
      <c r="O209" s="909" t="s">
        <v>2160</v>
      </c>
      <c r="P209" s="43">
        <f>T209</f>
        <v>1308</v>
      </c>
      <c r="Q209" s="1568"/>
      <c r="R209" s="60">
        <v>1450</v>
      </c>
      <c r="S209" s="60">
        <v>1450</v>
      </c>
      <c r="T209" s="60">
        <v>1308</v>
      </c>
    </row>
    <row r="210" spans="1:20" ht="19.5">
      <c r="A210" s="1330">
        <f>A209+0.01</f>
        <v>34.019999999999996</v>
      </c>
      <c r="B210" s="277" t="s">
        <v>2649</v>
      </c>
      <c r="C210" s="281" t="s">
        <v>1488</v>
      </c>
      <c r="D210" s="25"/>
      <c r="E210" s="117"/>
      <c r="F210" s="117"/>
      <c r="G210" s="117"/>
      <c r="H210" s="117"/>
      <c r="I210" s="117"/>
      <c r="J210" s="117"/>
      <c r="K210" s="117"/>
      <c r="L210" s="117"/>
      <c r="M210" s="117"/>
      <c r="N210" s="909" t="s">
        <v>2160</v>
      </c>
      <c r="O210" s="909" t="s">
        <v>2160</v>
      </c>
      <c r="P210" s="43">
        <f>T210</f>
        <v>1496</v>
      </c>
      <c r="Q210" s="1568"/>
      <c r="R210" s="60">
        <v>1625</v>
      </c>
      <c r="S210" s="60">
        <v>1625</v>
      </c>
      <c r="T210" s="60">
        <v>1496</v>
      </c>
    </row>
  </sheetData>
  <mergeCells count="1">
    <mergeCell ref="A1:Q1"/>
  </mergeCells>
  <phoneticPr fontId="105" type="noConversion"/>
  <printOptions horizontalCentered="1"/>
  <pageMargins left="1.24" right="0.19" top="1.03" bottom="0.73" header="0.5" footer="0.56999999999999995"/>
  <pageSetup paperSize="9" scale="77"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ignoredErrors>
    <ignoredError sqref="M33"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AA158"/>
  <sheetViews>
    <sheetView tabSelected="1" view="pageLayout" topLeftCell="A77" zoomScaleNormal="100" zoomScaleSheetLayoutView="130" workbookViewId="0">
      <selection activeCell="D24" sqref="D24"/>
    </sheetView>
  </sheetViews>
  <sheetFormatPr defaultColWidth="9.28515625" defaultRowHeight="15"/>
  <cols>
    <col min="1" max="1" width="8.85546875" style="60" customWidth="1"/>
    <col min="2" max="2" width="49" style="61" customWidth="1"/>
    <col min="3" max="3" width="10.28515625" style="60" customWidth="1"/>
    <col min="4" max="4" width="4.42578125" style="60" hidden="1" customWidth="1"/>
    <col min="5" max="5" width="9.7109375" style="62" hidden="1" customWidth="1"/>
    <col min="6" max="6" width="10.28515625" style="62" hidden="1" customWidth="1"/>
    <col min="7" max="7" width="4.42578125" style="62" hidden="1" customWidth="1"/>
    <col min="8" max="8" width="12.28515625" style="62" hidden="1" customWidth="1"/>
    <col min="9" max="13" width="11.5703125" style="62" hidden="1" customWidth="1"/>
    <col min="14" max="16" width="11.5703125" style="62" customWidth="1"/>
    <col min="17" max="17" width="8.7109375" style="13" customWidth="1"/>
    <col min="18" max="19" width="9.28515625" style="13"/>
    <col min="20" max="20" width="10.85546875" style="13" customWidth="1"/>
    <col min="21" max="21" width="12.5703125" style="13" customWidth="1"/>
    <col min="22" max="16384" width="9.28515625" style="13"/>
  </cols>
  <sheetData>
    <row r="1" spans="1:26" ht="29.25" thickBot="1">
      <c r="A1" s="1606" t="s">
        <v>2183</v>
      </c>
      <c r="B1" s="1606"/>
      <c r="C1" s="1606"/>
      <c r="D1" s="1606"/>
      <c r="E1" s="1606"/>
      <c r="F1" s="1606"/>
      <c r="G1" s="1606"/>
      <c r="H1" s="1606"/>
      <c r="I1" s="1606"/>
      <c r="J1" s="1606"/>
      <c r="K1" s="1606"/>
      <c r="L1" s="1606"/>
      <c r="M1" s="1606"/>
      <c r="N1" s="1606"/>
      <c r="O1" s="1606"/>
      <c r="P1" s="1606"/>
      <c r="Q1" s="1606"/>
    </row>
    <row r="2" spans="1:26" ht="55.5" customHeight="1" thickBot="1">
      <c r="A2" s="1340" t="s">
        <v>0</v>
      </c>
      <c r="B2" s="1341" t="s">
        <v>51</v>
      </c>
      <c r="C2" s="1341" t="s">
        <v>8</v>
      </c>
      <c r="D2" s="722" t="s">
        <v>52</v>
      </c>
      <c r="E2" s="723" t="s">
        <v>53</v>
      </c>
      <c r="F2" s="723" t="s">
        <v>54</v>
      </c>
      <c r="G2" s="723" t="s">
        <v>55</v>
      </c>
      <c r="H2" s="724" t="s">
        <v>1416</v>
      </c>
      <c r="I2" s="724" t="s">
        <v>1417</v>
      </c>
      <c r="J2" s="724" t="s">
        <v>1428</v>
      </c>
      <c r="K2" s="724" t="s">
        <v>1432</v>
      </c>
      <c r="L2" s="725" t="s">
        <v>1463</v>
      </c>
      <c r="M2" s="726" t="s">
        <v>2190</v>
      </c>
      <c r="N2" s="726" t="s">
        <v>2191</v>
      </c>
      <c r="O2" s="726" t="s">
        <v>2192</v>
      </c>
      <c r="P2" s="726" t="s">
        <v>2543</v>
      </c>
      <c r="Q2" s="480" t="s">
        <v>9</v>
      </c>
    </row>
    <row r="3" spans="1:26" ht="18">
      <c r="A3" s="1347">
        <v>1</v>
      </c>
      <c r="B3" s="1378" t="s">
        <v>2745</v>
      </c>
      <c r="C3" s="1342"/>
      <c r="D3" s="378"/>
      <c r="E3" s="373"/>
      <c r="F3" s="429"/>
      <c r="G3" s="429"/>
      <c r="H3" s="435"/>
      <c r="I3" s="435"/>
      <c r="J3" s="435"/>
      <c r="K3" s="435"/>
      <c r="L3" s="435"/>
      <c r="M3" s="435"/>
      <c r="N3" s="435"/>
      <c r="O3" s="435"/>
      <c r="P3" s="435"/>
      <c r="Q3" s="436"/>
      <c r="R3" s="1018" t="s">
        <v>2794</v>
      </c>
      <c r="S3" s="1551" t="s">
        <v>2497</v>
      </c>
      <c r="T3" s="1018" t="s">
        <v>2795</v>
      </c>
      <c r="U3" s="839" t="s">
        <v>2322</v>
      </c>
    </row>
    <row r="4" spans="1:26" ht="18">
      <c r="A4" s="1346">
        <f>A3+0.01</f>
        <v>1.01</v>
      </c>
      <c r="B4" s="1379" t="s">
        <v>2749</v>
      </c>
      <c r="C4" s="238" t="s">
        <v>1770</v>
      </c>
      <c r="D4" s="26"/>
      <c r="E4" s="27">
        <v>59</v>
      </c>
      <c r="F4" s="28">
        <v>60</v>
      </c>
      <c r="G4" s="28">
        <v>65</v>
      </c>
      <c r="H4" s="44">
        <v>78</v>
      </c>
      <c r="I4" s="121">
        <f>H4</f>
        <v>78</v>
      </c>
      <c r="J4" s="121">
        <f>I4</f>
        <v>78</v>
      </c>
      <c r="K4" s="121">
        <v>80</v>
      </c>
      <c r="L4" s="121">
        <f>K4*1.2</f>
        <v>96</v>
      </c>
      <c r="M4" s="121">
        <f>L4</f>
        <v>96</v>
      </c>
      <c r="N4" s="121">
        <f>M4</f>
        <v>96</v>
      </c>
      <c r="O4" s="121">
        <f>N4</f>
        <v>96</v>
      </c>
      <c r="P4" s="121">
        <f>O4</f>
        <v>96</v>
      </c>
      <c r="Q4" s="1500"/>
      <c r="R4" s="1019">
        <v>91</v>
      </c>
      <c r="S4" s="1552">
        <v>87</v>
      </c>
      <c r="T4" s="1019">
        <v>90</v>
      </c>
      <c r="U4" s="155">
        <f>105%*T4</f>
        <v>94.5</v>
      </c>
    </row>
    <row r="5" spans="1:26" ht="18">
      <c r="A5" s="1346">
        <f>A4+0.01</f>
        <v>1.02</v>
      </c>
      <c r="B5" s="1379" t="s">
        <v>2746</v>
      </c>
      <c r="C5" s="238" t="s">
        <v>1770</v>
      </c>
      <c r="D5" s="26"/>
      <c r="E5" s="27">
        <v>57</v>
      </c>
      <c r="F5" s="28">
        <v>58</v>
      </c>
      <c r="G5" s="28">
        <v>64</v>
      </c>
      <c r="H5" s="44">
        <v>76</v>
      </c>
      <c r="I5" s="121">
        <f>H5</f>
        <v>76</v>
      </c>
      <c r="J5" s="121">
        <f t="shared" ref="J5:J30" si="0">I5</f>
        <v>76</v>
      </c>
      <c r="K5" s="121">
        <f>K4</f>
        <v>80</v>
      </c>
      <c r="L5" s="121">
        <f t="shared" ref="L5:L30" si="1">K5*1.2</f>
        <v>96</v>
      </c>
      <c r="M5" s="121">
        <f t="shared" ref="M5:M68" si="2">L5</f>
        <v>96</v>
      </c>
      <c r="N5" s="121">
        <f t="shared" ref="N5:N68" si="3">M5</f>
        <v>96</v>
      </c>
      <c r="O5" s="121">
        <f>O4-3</f>
        <v>93</v>
      </c>
      <c r="P5" s="121">
        <f t="shared" ref="P5:P7" si="4">O5</f>
        <v>93</v>
      </c>
      <c r="Q5" s="1500"/>
      <c r="R5" s="1019">
        <v>88</v>
      </c>
      <c r="S5" s="1552">
        <v>84</v>
      </c>
      <c r="T5" s="1019">
        <v>90</v>
      </c>
      <c r="U5" s="155">
        <f t="shared" ref="U5:U7" si="5">105%*T5</f>
        <v>94.5</v>
      </c>
    </row>
    <row r="6" spans="1:26" ht="18">
      <c r="A6" s="1346">
        <f t="shared" ref="A6:A7" si="6">A5+0.01</f>
        <v>1.03</v>
      </c>
      <c r="B6" s="1379" t="s">
        <v>2747</v>
      </c>
      <c r="C6" s="238" t="s">
        <v>1770</v>
      </c>
      <c r="D6" s="26"/>
      <c r="E6" s="27"/>
      <c r="F6" s="28"/>
      <c r="G6" s="28"/>
      <c r="H6" s="44"/>
      <c r="I6" s="121"/>
      <c r="J6" s="121"/>
      <c r="K6" s="121"/>
      <c r="L6" s="121"/>
      <c r="M6" s="121">
        <v>96</v>
      </c>
      <c r="N6" s="121">
        <v>96</v>
      </c>
      <c r="O6" s="121">
        <f>O5+2</f>
        <v>95</v>
      </c>
      <c r="P6" s="121">
        <f t="shared" si="4"/>
        <v>95</v>
      </c>
      <c r="Q6" s="1500"/>
      <c r="R6" s="1019">
        <v>91</v>
      </c>
      <c r="S6" s="1552">
        <v>86</v>
      </c>
      <c r="T6" s="1019">
        <v>90</v>
      </c>
      <c r="U6" s="155">
        <f t="shared" si="5"/>
        <v>94.5</v>
      </c>
    </row>
    <row r="7" spans="1:26" ht="18.75" thickBot="1">
      <c r="A7" s="1346">
        <f t="shared" si="6"/>
        <v>1.04</v>
      </c>
      <c r="B7" s="1380" t="s">
        <v>2748</v>
      </c>
      <c r="C7" s="238" t="s">
        <v>1770</v>
      </c>
      <c r="D7" s="26">
        <v>43</v>
      </c>
      <c r="E7" s="27">
        <v>59</v>
      </c>
      <c r="F7" s="28">
        <v>61</v>
      </c>
      <c r="G7" s="28">
        <v>68</v>
      </c>
      <c r="H7" s="44">
        <v>70</v>
      </c>
      <c r="I7" s="121">
        <f>H7</f>
        <v>70</v>
      </c>
      <c r="J7" s="121">
        <f t="shared" si="0"/>
        <v>70</v>
      </c>
      <c r="K7" s="121">
        <v>81</v>
      </c>
      <c r="L7" s="121">
        <f t="shared" si="1"/>
        <v>97.2</v>
      </c>
      <c r="M7" s="121">
        <f t="shared" si="2"/>
        <v>97.2</v>
      </c>
      <c r="N7" s="121">
        <f t="shared" si="3"/>
        <v>97.2</v>
      </c>
      <c r="O7" s="121">
        <v>97</v>
      </c>
      <c r="P7" s="121">
        <f t="shared" si="4"/>
        <v>97</v>
      </c>
      <c r="Q7" s="164"/>
      <c r="R7" s="1019">
        <v>92</v>
      </c>
      <c r="S7" s="1553">
        <v>88</v>
      </c>
      <c r="T7" s="1019"/>
      <c r="U7" s="155">
        <f t="shared" si="5"/>
        <v>0</v>
      </c>
      <c r="X7" s="885" t="s">
        <v>2196</v>
      </c>
      <c r="Y7" s="885"/>
      <c r="Z7" s="453" t="s">
        <v>2497</v>
      </c>
    </row>
    <row r="8" spans="1:26" ht="19.5">
      <c r="A8" s="1347">
        <v>2</v>
      </c>
      <c r="B8" s="380" t="s">
        <v>2750</v>
      </c>
      <c r="C8" s="381" t="s">
        <v>1770</v>
      </c>
      <c r="D8" s="384">
        <v>60</v>
      </c>
      <c r="E8" s="373">
        <v>85</v>
      </c>
      <c r="F8" s="429">
        <v>80</v>
      </c>
      <c r="G8" s="429">
        <v>85</v>
      </c>
      <c r="H8" s="429">
        <v>90</v>
      </c>
      <c r="I8" s="430">
        <f>H8</f>
        <v>90</v>
      </c>
      <c r="J8" s="430">
        <f t="shared" si="0"/>
        <v>90</v>
      </c>
      <c r="K8" s="430">
        <f>J8</f>
        <v>90</v>
      </c>
      <c r="L8" s="430">
        <f t="shared" si="1"/>
        <v>108</v>
      </c>
      <c r="M8" s="430">
        <f t="shared" si="2"/>
        <v>108</v>
      </c>
      <c r="N8" s="430">
        <f t="shared" si="3"/>
        <v>108</v>
      </c>
      <c r="O8" s="430">
        <f>ROUND(1.025*N8,0)</f>
        <v>111</v>
      </c>
      <c r="P8" s="430">
        <v>115</v>
      </c>
      <c r="Q8" s="432"/>
      <c r="R8" s="1019">
        <v>115</v>
      </c>
      <c r="S8" s="1019"/>
      <c r="T8" s="1019"/>
      <c r="X8" s="1029">
        <v>122</v>
      </c>
      <c r="Y8" s="1029"/>
      <c r="Z8" s="702">
        <v>120</v>
      </c>
    </row>
    <row r="9" spans="1:26" ht="19.5">
      <c r="A9" s="1347">
        <v>3</v>
      </c>
      <c r="B9" s="380" t="s">
        <v>2751</v>
      </c>
      <c r="C9" s="1342"/>
      <c r="D9" s="384"/>
      <c r="E9" s="373"/>
      <c r="F9" s="429"/>
      <c r="G9" s="429"/>
      <c r="H9" s="429"/>
      <c r="I9" s="430"/>
      <c r="J9" s="430"/>
      <c r="K9" s="430"/>
      <c r="L9" s="430"/>
      <c r="M9" s="430"/>
      <c r="N9" s="430"/>
      <c r="O9" s="430"/>
      <c r="P9" s="430"/>
      <c r="Q9" s="432"/>
      <c r="R9" s="942" t="s">
        <v>2322</v>
      </c>
      <c r="S9" s="942"/>
      <c r="T9" s="942"/>
      <c r="U9" s="453" t="s">
        <v>2482</v>
      </c>
      <c r="V9" s="453" t="s">
        <v>2357</v>
      </c>
      <c r="W9" s="453" t="s">
        <v>2483</v>
      </c>
    </row>
    <row r="10" spans="1:26" ht="19.5">
      <c r="A10" s="1346">
        <f>A9+0.01</f>
        <v>3.01</v>
      </c>
      <c r="B10" s="1381" t="s">
        <v>2752</v>
      </c>
      <c r="C10" s="238" t="s">
        <v>1770</v>
      </c>
      <c r="D10" s="26">
        <v>53</v>
      </c>
      <c r="E10" s="27">
        <v>80</v>
      </c>
      <c r="F10" s="28">
        <v>80</v>
      </c>
      <c r="G10" s="28">
        <v>85</v>
      </c>
      <c r="H10" s="28">
        <v>95</v>
      </c>
      <c r="I10" s="70">
        <f>H10</f>
        <v>95</v>
      </c>
      <c r="J10" s="121">
        <f t="shared" si="0"/>
        <v>95</v>
      </c>
      <c r="K10" s="121">
        <f>J10</f>
        <v>95</v>
      </c>
      <c r="L10" s="121">
        <f t="shared" si="1"/>
        <v>114</v>
      </c>
      <c r="M10" s="121">
        <f t="shared" si="2"/>
        <v>114</v>
      </c>
      <c r="N10" s="121">
        <f t="shared" si="3"/>
        <v>114</v>
      </c>
      <c r="O10" s="121">
        <f>N10*102.5%</f>
        <v>116.85</v>
      </c>
      <c r="P10" s="121">
        <f>O10*102%</f>
        <v>119.187</v>
      </c>
      <c r="Q10" s="1500"/>
      <c r="R10" s="1083">
        <v>120</v>
      </c>
      <c r="S10" s="1083"/>
      <c r="T10" s="1083"/>
      <c r="U10" s="488">
        <v>110</v>
      </c>
      <c r="V10" s="37">
        <v>118</v>
      </c>
      <c r="W10" s="25">
        <v>135</v>
      </c>
    </row>
    <row r="11" spans="1:26" ht="19.5">
      <c r="A11" s="1346">
        <f>A10+0.01</f>
        <v>3.0199999999999996</v>
      </c>
      <c r="B11" s="1381" t="s">
        <v>2753</v>
      </c>
      <c r="C11" s="238" t="s">
        <v>1770</v>
      </c>
      <c r="D11" s="26">
        <v>55</v>
      </c>
      <c r="E11" s="27">
        <v>82</v>
      </c>
      <c r="F11" s="28">
        <v>82</v>
      </c>
      <c r="G11" s="28">
        <v>86</v>
      </c>
      <c r="H11" s="28">
        <v>93</v>
      </c>
      <c r="I11" s="70">
        <f>H11</f>
        <v>93</v>
      </c>
      <c r="J11" s="121">
        <f t="shared" si="0"/>
        <v>93</v>
      </c>
      <c r="K11" s="121">
        <f t="shared" ref="K11:K12" si="7">J11</f>
        <v>93</v>
      </c>
      <c r="L11" s="121">
        <f t="shared" si="1"/>
        <v>111.6</v>
      </c>
      <c r="M11" s="121">
        <f t="shared" si="2"/>
        <v>111.6</v>
      </c>
      <c r="N11" s="121">
        <f t="shared" si="3"/>
        <v>111.6</v>
      </c>
      <c r="O11" s="121">
        <f>N11*102.5%</f>
        <v>114.38999999999999</v>
      </c>
      <c r="P11" s="121">
        <f>O11*102%</f>
        <v>116.67779999999999</v>
      </c>
      <c r="Q11" s="1500"/>
      <c r="R11" s="1083">
        <v>109</v>
      </c>
      <c r="S11" s="1083"/>
      <c r="T11" s="1083"/>
      <c r="U11" s="488">
        <v>110</v>
      </c>
      <c r="V11" s="37"/>
      <c r="W11" s="25"/>
    </row>
    <row r="12" spans="1:26" ht="19.5">
      <c r="A12" s="1347">
        <v>4</v>
      </c>
      <c r="B12" s="380" t="s">
        <v>2754</v>
      </c>
      <c r="C12" s="381" t="s">
        <v>1770</v>
      </c>
      <c r="D12" s="384">
        <v>60</v>
      </c>
      <c r="E12" s="373">
        <v>89</v>
      </c>
      <c r="F12" s="429">
        <v>80</v>
      </c>
      <c r="G12" s="429">
        <v>82</v>
      </c>
      <c r="H12" s="429">
        <v>115</v>
      </c>
      <c r="I12" s="430">
        <f>H12</f>
        <v>115</v>
      </c>
      <c r="J12" s="430">
        <f t="shared" si="0"/>
        <v>115</v>
      </c>
      <c r="K12" s="430">
        <f t="shared" si="7"/>
        <v>115</v>
      </c>
      <c r="L12" s="430">
        <f t="shared" si="1"/>
        <v>138</v>
      </c>
      <c r="M12" s="430">
        <f t="shared" si="2"/>
        <v>138</v>
      </c>
      <c r="N12" s="430">
        <f t="shared" si="3"/>
        <v>138</v>
      </c>
      <c r="O12" s="430">
        <f>N12</f>
        <v>138</v>
      </c>
      <c r="P12" s="430">
        <f>O12</f>
        <v>138</v>
      </c>
      <c r="Q12" s="432"/>
      <c r="U12" s="155"/>
    </row>
    <row r="13" spans="1:26" ht="19.5">
      <c r="A13" s="1347">
        <v>5</v>
      </c>
      <c r="B13" s="380" t="s">
        <v>2755</v>
      </c>
      <c r="C13" s="1342"/>
      <c r="D13" s="384"/>
      <c r="E13" s="373"/>
      <c r="F13" s="429"/>
      <c r="G13" s="429"/>
      <c r="H13" s="429"/>
      <c r="I13" s="429"/>
      <c r="J13" s="430"/>
      <c r="K13" s="430"/>
      <c r="L13" s="430"/>
      <c r="M13" s="430"/>
      <c r="N13" s="430"/>
      <c r="O13" s="430"/>
      <c r="P13" s="430"/>
      <c r="Q13" s="431"/>
      <c r="R13" s="942" t="s">
        <v>2482</v>
      </c>
      <c r="S13" s="942"/>
      <c r="T13" s="942"/>
      <c r="U13" s="453" t="s">
        <v>2322</v>
      </c>
    </row>
    <row r="14" spans="1:26" ht="19.5">
      <c r="A14" s="1346">
        <f>A13+0.01</f>
        <v>5.01</v>
      </c>
      <c r="B14" s="1381" t="s">
        <v>2756</v>
      </c>
      <c r="C14" s="238" t="s">
        <v>1770</v>
      </c>
      <c r="D14" s="26">
        <v>63</v>
      </c>
      <c r="E14" s="27">
        <v>100</v>
      </c>
      <c r="F14" s="28">
        <v>90</v>
      </c>
      <c r="G14" s="28">
        <v>100</v>
      </c>
      <c r="H14" s="28">
        <v>120</v>
      </c>
      <c r="I14" s="28">
        <f t="shared" ref="I14:I22" si="8">H14</f>
        <v>120</v>
      </c>
      <c r="J14" s="121">
        <f t="shared" si="0"/>
        <v>120</v>
      </c>
      <c r="K14" s="121">
        <v>125</v>
      </c>
      <c r="L14" s="121">
        <f t="shared" si="1"/>
        <v>150</v>
      </c>
      <c r="M14" s="121">
        <f t="shared" si="2"/>
        <v>150</v>
      </c>
      <c r="N14" s="121">
        <f t="shared" si="3"/>
        <v>150</v>
      </c>
      <c r="O14" s="121">
        <f>N14</f>
        <v>150</v>
      </c>
      <c r="P14" s="121">
        <f>O14</f>
        <v>150</v>
      </c>
      <c r="Q14" s="29"/>
      <c r="R14" s="1084">
        <v>132</v>
      </c>
      <c r="S14" s="1084"/>
      <c r="T14" s="1084"/>
      <c r="U14" s="488">
        <v>158</v>
      </c>
    </row>
    <row r="15" spans="1:26" ht="19.5">
      <c r="A15" s="1346">
        <f t="shared" ref="A15:A22" si="9">A14+0.01</f>
        <v>5.0199999999999996</v>
      </c>
      <c r="B15" s="1381" t="s">
        <v>2757</v>
      </c>
      <c r="C15" s="238" t="s">
        <v>1770</v>
      </c>
      <c r="D15" s="26">
        <v>1600</v>
      </c>
      <c r="E15" s="27">
        <v>2100</v>
      </c>
      <c r="F15" s="28">
        <v>2700</v>
      </c>
      <c r="G15" s="28">
        <v>2850</v>
      </c>
      <c r="H15" s="28">
        <v>3250</v>
      </c>
      <c r="I15" s="28">
        <f t="shared" si="8"/>
        <v>3250</v>
      </c>
      <c r="J15" s="121">
        <f t="shared" si="0"/>
        <v>3250</v>
      </c>
      <c r="K15" s="121">
        <v>3400</v>
      </c>
      <c r="L15" s="121">
        <f t="shared" si="1"/>
        <v>4080</v>
      </c>
      <c r="M15" s="121">
        <f t="shared" si="2"/>
        <v>4080</v>
      </c>
      <c r="N15" s="121">
        <f t="shared" si="3"/>
        <v>4080</v>
      </c>
      <c r="O15" s="121">
        <f t="shared" ref="O15:O22" si="10">N15</f>
        <v>4080</v>
      </c>
      <c r="P15" s="121">
        <f t="shared" ref="P15:P22" si="11">O15</f>
        <v>4080</v>
      </c>
      <c r="Q15" s="29"/>
      <c r="R15" s="1084">
        <v>3575</v>
      </c>
      <c r="S15" s="1084"/>
      <c r="T15" s="1084"/>
      <c r="U15" s="488">
        <v>158</v>
      </c>
    </row>
    <row r="16" spans="1:26" ht="19.5">
      <c r="A16" s="1346">
        <f t="shared" si="9"/>
        <v>5.0299999999999994</v>
      </c>
      <c r="B16" s="1381" t="s">
        <v>2758</v>
      </c>
      <c r="C16" s="238" t="s">
        <v>1770</v>
      </c>
      <c r="D16" s="26">
        <v>56</v>
      </c>
      <c r="E16" s="27">
        <v>95</v>
      </c>
      <c r="F16" s="28">
        <v>105</v>
      </c>
      <c r="G16" s="28">
        <v>110</v>
      </c>
      <c r="H16" s="28">
        <v>135</v>
      </c>
      <c r="I16" s="28">
        <f t="shared" si="8"/>
        <v>135</v>
      </c>
      <c r="J16" s="121">
        <f t="shared" si="0"/>
        <v>135</v>
      </c>
      <c r="K16" s="121">
        <v>145</v>
      </c>
      <c r="L16" s="121">
        <f t="shared" si="1"/>
        <v>174</v>
      </c>
      <c r="M16" s="121">
        <f t="shared" si="2"/>
        <v>174</v>
      </c>
      <c r="N16" s="121">
        <f t="shared" si="3"/>
        <v>174</v>
      </c>
      <c r="O16" s="121">
        <f t="shared" si="10"/>
        <v>174</v>
      </c>
      <c r="P16" s="121">
        <f t="shared" si="11"/>
        <v>174</v>
      </c>
      <c r="Q16" s="29"/>
      <c r="U16" s="155"/>
    </row>
    <row r="17" spans="1:27" ht="19.5">
      <c r="A17" s="1346">
        <f t="shared" si="9"/>
        <v>5.0399999999999991</v>
      </c>
      <c r="B17" s="1381" t="s">
        <v>2759</v>
      </c>
      <c r="C17" s="238" t="s">
        <v>1770</v>
      </c>
      <c r="D17" s="26">
        <v>50</v>
      </c>
      <c r="E17" s="27">
        <v>100</v>
      </c>
      <c r="F17" s="28">
        <v>110</v>
      </c>
      <c r="G17" s="28">
        <v>115</v>
      </c>
      <c r="H17" s="28">
        <v>140</v>
      </c>
      <c r="I17" s="28">
        <f t="shared" si="8"/>
        <v>140</v>
      </c>
      <c r="J17" s="121">
        <f t="shared" si="0"/>
        <v>140</v>
      </c>
      <c r="K17" s="121">
        <v>145</v>
      </c>
      <c r="L17" s="121">
        <f t="shared" si="1"/>
        <v>174</v>
      </c>
      <c r="M17" s="121">
        <f t="shared" si="2"/>
        <v>174</v>
      </c>
      <c r="N17" s="121">
        <f t="shared" si="3"/>
        <v>174</v>
      </c>
      <c r="O17" s="121">
        <f t="shared" si="10"/>
        <v>174</v>
      </c>
      <c r="P17" s="121">
        <f t="shared" si="11"/>
        <v>174</v>
      </c>
      <c r="Q17" s="29"/>
      <c r="U17" s="155"/>
    </row>
    <row r="18" spans="1:27" ht="19.5">
      <c r="A18" s="1348">
        <f t="shared" si="9"/>
        <v>5.0499999999999989</v>
      </c>
      <c r="B18" s="1381" t="s">
        <v>2760</v>
      </c>
      <c r="C18" s="238" t="s">
        <v>1770</v>
      </c>
      <c r="D18" s="42"/>
      <c r="E18" s="43"/>
      <c r="F18" s="44"/>
      <c r="G18" s="44"/>
      <c r="H18" s="44">
        <v>135</v>
      </c>
      <c r="I18" s="44">
        <f t="shared" si="8"/>
        <v>135</v>
      </c>
      <c r="J18" s="121">
        <f t="shared" si="0"/>
        <v>135</v>
      </c>
      <c r="K18" s="121">
        <v>145</v>
      </c>
      <c r="L18" s="121">
        <f t="shared" si="1"/>
        <v>174</v>
      </c>
      <c r="M18" s="121">
        <f t="shared" si="2"/>
        <v>174</v>
      </c>
      <c r="N18" s="121">
        <f t="shared" si="3"/>
        <v>174</v>
      </c>
      <c r="O18" s="121">
        <f t="shared" si="10"/>
        <v>174</v>
      </c>
      <c r="P18" s="121">
        <f t="shared" si="11"/>
        <v>174</v>
      </c>
      <c r="Q18" s="821"/>
      <c r="U18" s="155"/>
    </row>
    <row r="19" spans="1:27" ht="19.5">
      <c r="A19" s="1346">
        <f t="shared" si="9"/>
        <v>5.0599999999999987</v>
      </c>
      <c r="B19" s="1381" t="s">
        <v>2761</v>
      </c>
      <c r="C19" s="238" t="s">
        <v>1770</v>
      </c>
      <c r="D19" s="42">
        <v>60</v>
      </c>
      <c r="E19" s="43">
        <v>100</v>
      </c>
      <c r="F19" s="44">
        <v>90</v>
      </c>
      <c r="G19" s="44">
        <v>100</v>
      </c>
      <c r="H19" s="28">
        <v>110</v>
      </c>
      <c r="I19" s="28">
        <f t="shared" si="8"/>
        <v>110</v>
      </c>
      <c r="J19" s="121">
        <f t="shared" si="0"/>
        <v>110</v>
      </c>
      <c r="K19" s="121">
        <v>115</v>
      </c>
      <c r="L19" s="121">
        <f t="shared" si="1"/>
        <v>138</v>
      </c>
      <c r="M19" s="121">
        <f t="shared" si="2"/>
        <v>138</v>
      </c>
      <c r="N19" s="121">
        <f t="shared" si="3"/>
        <v>138</v>
      </c>
      <c r="O19" s="121">
        <f t="shared" si="10"/>
        <v>138</v>
      </c>
      <c r="P19" s="121">
        <f t="shared" si="11"/>
        <v>138</v>
      </c>
      <c r="Q19" s="29"/>
      <c r="R19" s="1029">
        <v>121</v>
      </c>
      <c r="S19" s="1029"/>
      <c r="T19" s="1029"/>
      <c r="U19" s="36"/>
    </row>
    <row r="20" spans="1:27" ht="19.5">
      <c r="A20" s="1346">
        <f t="shared" si="9"/>
        <v>5.0699999999999985</v>
      </c>
      <c r="B20" s="1381" t="s">
        <v>2762</v>
      </c>
      <c r="C20" s="238" t="s">
        <v>1770</v>
      </c>
      <c r="D20" s="42">
        <v>60</v>
      </c>
      <c r="E20" s="43">
        <v>100</v>
      </c>
      <c r="F20" s="44">
        <v>90</v>
      </c>
      <c r="G20" s="44">
        <v>100</v>
      </c>
      <c r="H20" s="28">
        <v>114</v>
      </c>
      <c r="I20" s="28">
        <f t="shared" si="8"/>
        <v>114</v>
      </c>
      <c r="J20" s="121">
        <f t="shared" si="0"/>
        <v>114</v>
      </c>
      <c r="K20" s="121">
        <v>120</v>
      </c>
      <c r="L20" s="121">
        <f t="shared" si="1"/>
        <v>144</v>
      </c>
      <c r="M20" s="121">
        <f t="shared" si="2"/>
        <v>144</v>
      </c>
      <c r="N20" s="121">
        <f t="shared" si="3"/>
        <v>144</v>
      </c>
      <c r="O20" s="121">
        <f t="shared" si="10"/>
        <v>144</v>
      </c>
      <c r="P20" s="121">
        <f t="shared" si="11"/>
        <v>144</v>
      </c>
      <c r="Q20" s="29"/>
      <c r="U20" s="155"/>
    </row>
    <row r="21" spans="1:27" ht="19.5">
      <c r="A21" s="1346">
        <f t="shared" si="9"/>
        <v>5.0799999999999983</v>
      </c>
      <c r="B21" s="1381" t="s">
        <v>2763</v>
      </c>
      <c r="C21" s="238" t="s">
        <v>1770</v>
      </c>
      <c r="D21" s="26">
        <v>55</v>
      </c>
      <c r="E21" s="27">
        <v>70</v>
      </c>
      <c r="F21" s="28">
        <v>70</v>
      </c>
      <c r="G21" s="28">
        <v>73</v>
      </c>
      <c r="H21" s="28">
        <v>107</v>
      </c>
      <c r="I21" s="28">
        <f t="shared" si="8"/>
        <v>107</v>
      </c>
      <c r="J21" s="121">
        <f t="shared" si="0"/>
        <v>107</v>
      </c>
      <c r="K21" s="121">
        <v>110</v>
      </c>
      <c r="L21" s="121">
        <f t="shared" si="1"/>
        <v>132</v>
      </c>
      <c r="M21" s="121">
        <f t="shared" si="2"/>
        <v>132</v>
      </c>
      <c r="N21" s="121">
        <f t="shared" si="3"/>
        <v>132</v>
      </c>
      <c r="O21" s="121">
        <f t="shared" si="10"/>
        <v>132</v>
      </c>
      <c r="P21" s="121">
        <f t="shared" si="11"/>
        <v>132</v>
      </c>
      <c r="Q21" s="29"/>
      <c r="U21" s="155"/>
    </row>
    <row r="22" spans="1:27" ht="19.5">
      <c r="A22" s="1346">
        <f t="shared" si="9"/>
        <v>5.0899999999999981</v>
      </c>
      <c r="B22" s="1381" t="s">
        <v>2764</v>
      </c>
      <c r="C22" s="238" t="s">
        <v>1770</v>
      </c>
      <c r="D22" s="26"/>
      <c r="E22" s="27"/>
      <c r="F22" s="28"/>
      <c r="G22" s="28"/>
      <c r="H22" s="28">
        <v>95</v>
      </c>
      <c r="I22" s="28">
        <f t="shared" si="8"/>
        <v>95</v>
      </c>
      <c r="J22" s="121">
        <f t="shared" si="0"/>
        <v>95</v>
      </c>
      <c r="K22" s="121">
        <v>100</v>
      </c>
      <c r="L22" s="121">
        <f t="shared" si="1"/>
        <v>120</v>
      </c>
      <c r="M22" s="121">
        <f t="shared" si="2"/>
        <v>120</v>
      </c>
      <c r="N22" s="121">
        <f t="shared" si="3"/>
        <v>120</v>
      </c>
      <c r="O22" s="121">
        <f t="shared" si="10"/>
        <v>120</v>
      </c>
      <c r="P22" s="121">
        <f t="shared" si="11"/>
        <v>120</v>
      </c>
      <c r="Q22" s="29"/>
      <c r="U22" s="155"/>
    </row>
    <row r="23" spans="1:27" ht="18" customHeight="1">
      <c r="A23" s="1347">
        <v>6</v>
      </c>
      <c r="B23" s="380" t="s">
        <v>2769</v>
      </c>
      <c r="C23" s="1342"/>
      <c r="D23" s="384"/>
      <c r="E23" s="373"/>
      <c r="F23" s="429"/>
      <c r="G23" s="429"/>
      <c r="H23" s="429"/>
      <c r="I23" s="429"/>
      <c r="J23" s="430"/>
      <c r="K23" s="430"/>
      <c r="L23" s="430"/>
      <c r="M23" s="430"/>
      <c r="N23" s="430"/>
      <c r="O23" s="430"/>
      <c r="P23" s="430"/>
      <c r="Q23" s="438"/>
      <c r="R23" s="942" t="s">
        <v>2827</v>
      </c>
      <c r="S23" s="1018"/>
      <c r="U23" s="155"/>
    </row>
    <row r="24" spans="1:27" ht="19.5">
      <c r="A24" s="1346">
        <f>A23+0.01</f>
        <v>6.01</v>
      </c>
      <c r="B24" s="1381" t="s">
        <v>2765</v>
      </c>
      <c r="C24" s="238" t="s">
        <v>1770</v>
      </c>
      <c r="D24" s="26">
        <v>54</v>
      </c>
      <c r="E24" s="27">
        <v>82</v>
      </c>
      <c r="F24" s="28">
        <v>82</v>
      </c>
      <c r="G24" s="28">
        <v>83</v>
      </c>
      <c r="H24" s="28">
        <v>95</v>
      </c>
      <c r="I24" s="28">
        <v>104</v>
      </c>
      <c r="J24" s="121">
        <f t="shared" si="0"/>
        <v>104</v>
      </c>
      <c r="K24" s="121">
        <f>J24</f>
        <v>104</v>
      </c>
      <c r="L24" s="121">
        <f t="shared" si="1"/>
        <v>124.8</v>
      </c>
      <c r="M24" s="121">
        <f t="shared" si="2"/>
        <v>124.8</v>
      </c>
      <c r="N24" s="121">
        <f t="shared" si="3"/>
        <v>124.8</v>
      </c>
      <c r="O24" s="121">
        <f>N24</f>
        <v>124.8</v>
      </c>
      <c r="P24" s="121">
        <f>O24+1</f>
        <v>125.8</v>
      </c>
      <c r="Q24" s="821"/>
      <c r="R24" s="13">
        <v>125</v>
      </c>
      <c r="U24" s="155"/>
    </row>
    <row r="25" spans="1:27" ht="19.5">
      <c r="A25" s="1346">
        <f t="shared" ref="A25:A26" si="12">A24+0.01</f>
        <v>6.02</v>
      </c>
      <c r="B25" s="1381" t="s">
        <v>2766</v>
      </c>
      <c r="C25" s="238" t="s">
        <v>1770</v>
      </c>
      <c r="D25" s="26">
        <v>53</v>
      </c>
      <c r="E25" s="27">
        <v>81</v>
      </c>
      <c r="F25" s="28">
        <v>81</v>
      </c>
      <c r="G25" s="28">
        <v>82</v>
      </c>
      <c r="H25" s="28">
        <v>92</v>
      </c>
      <c r="I25" s="28">
        <v>101</v>
      </c>
      <c r="J25" s="121">
        <f t="shared" si="0"/>
        <v>101</v>
      </c>
      <c r="K25" s="121">
        <f t="shared" ref="K25:K88" si="13">J25</f>
        <v>101</v>
      </c>
      <c r="L25" s="121">
        <f t="shared" si="1"/>
        <v>121.19999999999999</v>
      </c>
      <c r="M25" s="121">
        <f t="shared" si="2"/>
        <v>121.19999999999999</v>
      </c>
      <c r="N25" s="121">
        <f t="shared" si="3"/>
        <v>121.19999999999999</v>
      </c>
      <c r="O25" s="121">
        <f t="shared" ref="O25:O26" si="14">N25</f>
        <v>121.19999999999999</v>
      </c>
      <c r="P25" s="121">
        <f t="shared" ref="P25:P26" si="15">O25+1</f>
        <v>122.19999999999999</v>
      </c>
      <c r="Q25" s="29"/>
      <c r="R25" s="13">
        <v>111</v>
      </c>
      <c r="U25" s="155"/>
    </row>
    <row r="26" spans="1:27" ht="19.5">
      <c r="A26" s="1346">
        <f t="shared" si="12"/>
        <v>6.0299999999999994</v>
      </c>
      <c r="B26" s="1381" t="s">
        <v>2767</v>
      </c>
      <c r="C26" s="238" t="s">
        <v>1770</v>
      </c>
      <c r="D26" s="26">
        <v>51</v>
      </c>
      <c r="E26" s="27">
        <v>78</v>
      </c>
      <c r="F26" s="28">
        <v>78</v>
      </c>
      <c r="G26" s="28">
        <v>79</v>
      </c>
      <c r="H26" s="28">
        <v>87</v>
      </c>
      <c r="I26" s="28">
        <v>95</v>
      </c>
      <c r="J26" s="121">
        <f t="shared" si="0"/>
        <v>95</v>
      </c>
      <c r="K26" s="121">
        <f t="shared" si="13"/>
        <v>95</v>
      </c>
      <c r="L26" s="121">
        <f t="shared" si="1"/>
        <v>114</v>
      </c>
      <c r="M26" s="121">
        <f t="shared" si="2"/>
        <v>114</v>
      </c>
      <c r="N26" s="121">
        <f t="shared" si="3"/>
        <v>114</v>
      </c>
      <c r="O26" s="121">
        <f t="shared" si="14"/>
        <v>114</v>
      </c>
      <c r="P26" s="121">
        <f t="shared" si="15"/>
        <v>115</v>
      </c>
      <c r="Q26" s="29"/>
      <c r="R26" s="13">
        <v>106</v>
      </c>
      <c r="U26" s="155"/>
    </row>
    <row r="27" spans="1:27" ht="19.5">
      <c r="A27" s="1347">
        <v>7</v>
      </c>
      <c r="B27" s="380" t="s">
        <v>2770</v>
      </c>
      <c r="C27" s="1342"/>
      <c r="D27" s="384"/>
      <c r="E27" s="373"/>
      <c r="F27" s="429"/>
      <c r="G27" s="429"/>
      <c r="H27" s="429"/>
      <c r="I27" s="429"/>
      <c r="J27" s="430"/>
      <c r="K27" s="430"/>
      <c r="L27" s="430"/>
      <c r="M27" s="430"/>
      <c r="N27" s="430"/>
      <c r="O27" s="430"/>
      <c r="P27" s="430"/>
      <c r="Q27" s="438"/>
      <c r="U27" s="155"/>
    </row>
    <row r="28" spans="1:27" ht="19.5">
      <c r="A28" s="1346">
        <f>A27+0.01</f>
        <v>7.01</v>
      </c>
      <c r="B28" s="1381" t="s">
        <v>2765</v>
      </c>
      <c r="C28" s="238" t="s">
        <v>1770</v>
      </c>
      <c r="D28" s="26">
        <v>54</v>
      </c>
      <c r="E28" s="27">
        <v>82</v>
      </c>
      <c r="F28" s="28">
        <v>82</v>
      </c>
      <c r="G28" s="28">
        <v>83</v>
      </c>
      <c r="H28" s="28">
        <v>96</v>
      </c>
      <c r="I28" s="28">
        <v>104</v>
      </c>
      <c r="J28" s="121">
        <f t="shared" si="0"/>
        <v>104</v>
      </c>
      <c r="K28" s="121">
        <f t="shared" si="13"/>
        <v>104</v>
      </c>
      <c r="L28" s="121">
        <f t="shared" si="1"/>
        <v>124.8</v>
      </c>
      <c r="M28" s="121">
        <f t="shared" si="2"/>
        <v>124.8</v>
      </c>
      <c r="N28" s="121">
        <f t="shared" si="3"/>
        <v>124.8</v>
      </c>
      <c r="O28" s="121">
        <f>N28</f>
        <v>124.8</v>
      </c>
      <c r="P28" s="121">
        <f>O28+1</f>
        <v>125.8</v>
      </c>
      <c r="Q28" s="821"/>
      <c r="U28" s="155"/>
    </row>
    <row r="29" spans="1:27" ht="19.5">
      <c r="A29" s="1346">
        <f t="shared" ref="A29:A30" si="16">A28+0.01</f>
        <v>7.02</v>
      </c>
      <c r="B29" s="1381" t="s">
        <v>2766</v>
      </c>
      <c r="C29" s="238" t="s">
        <v>1770</v>
      </c>
      <c r="D29" s="26">
        <v>53</v>
      </c>
      <c r="E29" s="27">
        <v>81</v>
      </c>
      <c r="F29" s="28">
        <v>81</v>
      </c>
      <c r="G29" s="28">
        <v>82</v>
      </c>
      <c r="H29" s="28">
        <v>91</v>
      </c>
      <c r="I29" s="28">
        <v>100</v>
      </c>
      <c r="J29" s="121">
        <f t="shared" si="0"/>
        <v>100</v>
      </c>
      <c r="K29" s="121">
        <f t="shared" si="13"/>
        <v>100</v>
      </c>
      <c r="L29" s="121">
        <f t="shared" si="1"/>
        <v>120</v>
      </c>
      <c r="M29" s="121">
        <f t="shared" si="2"/>
        <v>120</v>
      </c>
      <c r="N29" s="121">
        <f t="shared" si="3"/>
        <v>120</v>
      </c>
      <c r="O29" s="121">
        <f t="shared" ref="O29:O30" si="17">N29</f>
        <v>120</v>
      </c>
      <c r="P29" s="121">
        <f t="shared" ref="P29:P30" si="18">O29+1</f>
        <v>121</v>
      </c>
      <c r="Q29" s="29"/>
      <c r="U29" s="155"/>
    </row>
    <row r="30" spans="1:27" ht="19.5">
      <c r="A30" s="1346">
        <f t="shared" si="16"/>
        <v>7.0299999999999994</v>
      </c>
      <c r="B30" s="1381" t="s">
        <v>2767</v>
      </c>
      <c r="C30" s="238" t="s">
        <v>1770</v>
      </c>
      <c r="D30" s="26">
        <v>51</v>
      </c>
      <c r="E30" s="27">
        <v>78</v>
      </c>
      <c r="F30" s="28">
        <v>78</v>
      </c>
      <c r="G30" s="28">
        <v>79</v>
      </c>
      <c r="H30" s="28">
        <v>87</v>
      </c>
      <c r="I30" s="28">
        <v>95</v>
      </c>
      <c r="J30" s="121">
        <f t="shared" si="0"/>
        <v>95</v>
      </c>
      <c r="K30" s="121">
        <f t="shared" si="13"/>
        <v>95</v>
      </c>
      <c r="L30" s="121">
        <f t="shared" si="1"/>
        <v>114</v>
      </c>
      <c r="M30" s="121">
        <f t="shared" si="2"/>
        <v>114</v>
      </c>
      <c r="N30" s="121">
        <f t="shared" si="3"/>
        <v>114</v>
      </c>
      <c r="O30" s="121">
        <f t="shared" si="17"/>
        <v>114</v>
      </c>
      <c r="P30" s="121">
        <f t="shared" si="18"/>
        <v>115</v>
      </c>
      <c r="Q30" s="29"/>
      <c r="U30" s="155"/>
    </row>
    <row r="31" spans="1:27" ht="30.75">
      <c r="A31" s="1347">
        <v>8</v>
      </c>
      <c r="B31" s="1383" t="s">
        <v>164</v>
      </c>
      <c r="C31" s="1342"/>
      <c r="D31" s="384"/>
      <c r="E31" s="373"/>
      <c r="F31" s="429"/>
      <c r="G31" s="429"/>
      <c r="H31" s="440"/>
      <c r="I31" s="440"/>
      <c r="J31" s="430"/>
      <c r="K31" s="430"/>
      <c r="L31" s="430"/>
      <c r="M31" s="430"/>
      <c r="N31" s="430"/>
      <c r="O31" s="430"/>
      <c r="P31" s="430"/>
      <c r="Q31" s="431"/>
      <c r="U31" s="155"/>
    </row>
    <row r="32" spans="1:27" ht="117">
      <c r="A32" s="1349">
        <v>8.1</v>
      </c>
      <c r="B32" s="1384" t="s">
        <v>2790</v>
      </c>
      <c r="C32" s="1343"/>
      <c r="D32" s="378"/>
      <c r="E32" s="377"/>
      <c r="F32" s="442"/>
      <c r="G32" s="442"/>
      <c r="H32" s="442"/>
      <c r="I32" s="442"/>
      <c r="J32" s="443"/>
      <c r="K32" s="443"/>
      <c r="L32" s="443"/>
      <c r="M32" s="443"/>
      <c r="N32" s="443"/>
      <c r="O32" s="443"/>
      <c r="P32" s="443"/>
      <c r="Q32" s="444"/>
      <c r="R32" s="848" t="s">
        <v>2629</v>
      </c>
      <c r="S32" s="1478" t="s">
        <v>2614</v>
      </c>
      <c r="T32" s="1504" t="s">
        <v>2651</v>
      </c>
      <c r="U32" s="1478" t="s">
        <v>2916</v>
      </c>
      <c r="V32" s="1502" t="s">
        <v>2914</v>
      </c>
      <c r="W32" s="191" t="s">
        <v>2915</v>
      </c>
      <c r="X32" s="191" t="s">
        <v>2915</v>
      </c>
      <c r="Y32" s="839"/>
      <c r="Z32" s="839"/>
      <c r="AA32" s="839"/>
    </row>
    <row r="33" spans="1:27" ht="18">
      <c r="A33" s="1350" t="s">
        <v>2042</v>
      </c>
      <c r="B33" s="1382" t="s">
        <v>2771</v>
      </c>
      <c r="C33" s="238" t="s">
        <v>2768</v>
      </c>
      <c r="D33" s="26"/>
      <c r="E33" s="27"/>
      <c r="F33" s="28"/>
      <c r="G33" s="28"/>
      <c r="H33" s="44">
        <v>1557</v>
      </c>
      <c r="I33" s="44">
        <v>1712</v>
      </c>
      <c r="J33" s="44">
        <f t="shared" ref="J33:J64" si="19">H33</f>
        <v>1557</v>
      </c>
      <c r="K33" s="121">
        <f t="shared" si="13"/>
        <v>1557</v>
      </c>
      <c r="L33" s="121">
        <f>K33*1.15</f>
        <v>1790.55</v>
      </c>
      <c r="M33" s="121">
        <f t="shared" si="2"/>
        <v>1790.55</v>
      </c>
      <c r="N33" s="121">
        <f t="shared" si="3"/>
        <v>1790.55</v>
      </c>
      <c r="O33" s="121">
        <f>N33</f>
        <v>1790.55</v>
      </c>
      <c r="P33" s="121">
        <f>TRUNC(O33-125,0)</f>
        <v>1665</v>
      </c>
      <c r="Q33" s="1565"/>
      <c r="R33" s="839">
        <v>1566.18</v>
      </c>
      <c r="S33" s="1012">
        <f>P33-R33</f>
        <v>98.819999999999936</v>
      </c>
      <c r="T33" s="839"/>
      <c r="U33" s="1316">
        <f>(R33-O33)/O33</f>
        <v>-0.12530786629806479</v>
      </c>
      <c r="V33" s="1501">
        <f>2*1.5*(1.5+1+0.5)</f>
        <v>9</v>
      </c>
      <c r="W33" s="1501">
        <f>R33/V33</f>
        <v>174.02</v>
      </c>
      <c r="X33" s="191">
        <v>250</v>
      </c>
      <c r="Y33" s="839" t="s">
        <v>2497</v>
      </c>
      <c r="Z33" s="839"/>
      <c r="AA33" s="839"/>
    </row>
    <row r="34" spans="1:27" ht="18">
      <c r="A34" s="1350" t="s">
        <v>2043</v>
      </c>
      <c r="B34" s="1382" t="s">
        <v>2772</v>
      </c>
      <c r="C34" s="238" t="s">
        <v>2768</v>
      </c>
      <c r="D34" s="26"/>
      <c r="E34" s="27"/>
      <c r="F34" s="28"/>
      <c r="G34" s="28"/>
      <c r="H34" s="44">
        <v>2118</v>
      </c>
      <c r="I34" s="44">
        <v>2329</v>
      </c>
      <c r="J34" s="44">
        <f t="shared" si="19"/>
        <v>2118</v>
      </c>
      <c r="K34" s="121">
        <f t="shared" si="13"/>
        <v>2118</v>
      </c>
      <c r="L34" s="121">
        <f t="shared" ref="L34:L96" si="20">K34*1.15</f>
        <v>2435.6999999999998</v>
      </c>
      <c r="M34" s="121">
        <f t="shared" si="2"/>
        <v>2435.6999999999998</v>
      </c>
      <c r="N34" s="121">
        <f t="shared" si="3"/>
        <v>2435.6999999999998</v>
      </c>
      <c r="O34" s="121">
        <f t="shared" ref="O34:O51" si="21">N34</f>
        <v>2435.6999999999998</v>
      </c>
      <c r="P34" s="121">
        <f t="shared" ref="P34:P51" si="22">TRUNC(O34-125,0)</f>
        <v>2310</v>
      </c>
      <c r="Q34" s="29"/>
      <c r="R34" s="839">
        <v>2130.0500000000002</v>
      </c>
      <c r="S34" s="1012">
        <f t="shared" ref="S34:S51" si="23">P34-R34</f>
        <v>179.94999999999982</v>
      </c>
      <c r="T34" s="839">
        <v>2382</v>
      </c>
      <c r="U34" s="1316">
        <f t="shared" ref="U34:U50" si="24">(R34-O34)/O34</f>
        <v>-0.12548753951636066</v>
      </c>
      <c r="V34" s="1501">
        <f>2*2*(2+1+0.5)</f>
        <v>14</v>
      </c>
      <c r="W34" s="1501">
        <f t="shared" ref="W34:W51" si="25">R34/V34</f>
        <v>152.14642857142857</v>
      </c>
      <c r="X34" s="884"/>
      <c r="Y34" s="839"/>
      <c r="Z34" s="839"/>
      <c r="AA34" s="839"/>
    </row>
    <row r="35" spans="1:27" ht="18">
      <c r="A35" s="1350" t="s">
        <v>2044</v>
      </c>
      <c r="B35" s="1382" t="s">
        <v>2773</v>
      </c>
      <c r="C35" s="238" t="s">
        <v>2768</v>
      </c>
      <c r="D35" s="26"/>
      <c r="E35" s="27"/>
      <c r="F35" s="28"/>
      <c r="G35" s="28"/>
      <c r="H35" s="28">
        <v>3023</v>
      </c>
      <c r="I35" s="44">
        <v>3325</v>
      </c>
      <c r="J35" s="44">
        <f t="shared" si="19"/>
        <v>3023</v>
      </c>
      <c r="K35" s="121">
        <f t="shared" si="13"/>
        <v>3023</v>
      </c>
      <c r="L35" s="121">
        <f t="shared" si="20"/>
        <v>3476.45</v>
      </c>
      <c r="M35" s="121">
        <f t="shared" si="2"/>
        <v>3476.45</v>
      </c>
      <c r="N35" s="121">
        <f t="shared" si="3"/>
        <v>3476.45</v>
      </c>
      <c r="O35" s="121">
        <f t="shared" si="21"/>
        <v>3476.45</v>
      </c>
      <c r="P35" s="121">
        <f t="shared" si="22"/>
        <v>3351</v>
      </c>
      <c r="Q35" s="29"/>
      <c r="R35" s="839">
        <v>3039.7</v>
      </c>
      <c r="S35" s="1012">
        <f t="shared" si="23"/>
        <v>311.30000000000018</v>
      </c>
      <c r="T35" s="839">
        <v>3402</v>
      </c>
      <c r="U35" s="1316">
        <f t="shared" si="24"/>
        <v>-0.12563103165585585</v>
      </c>
      <c r="V35" s="1501">
        <f>2*3*(3+1+0.5)</f>
        <v>27</v>
      </c>
      <c r="W35" s="1501">
        <f t="shared" si="25"/>
        <v>112.58148148148148</v>
      </c>
      <c r="X35" s="884"/>
      <c r="Y35" s="839"/>
      <c r="Z35" s="839"/>
      <c r="AA35" s="839"/>
    </row>
    <row r="36" spans="1:27" ht="18">
      <c r="A36" s="1350" t="s">
        <v>2045</v>
      </c>
      <c r="B36" s="1382" t="s">
        <v>2774</v>
      </c>
      <c r="C36" s="238" t="s">
        <v>2768</v>
      </c>
      <c r="D36" s="26"/>
      <c r="E36" s="27"/>
      <c r="F36" s="28"/>
      <c r="G36" s="28"/>
      <c r="H36" s="28">
        <v>3817</v>
      </c>
      <c r="I36" s="44">
        <v>4198</v>
      </c>
      <c r="J36" s="44">
        <f t="shared" si="19"/>
        <v>3817</v>
      </c>
      <c r="K36" s="121">
        <f t="shared" si="13"/>
        <v>3817</v>
      </c>
      <c r="L36" s="121">
        <f t="shared" si="20"/>
        <v>4389.5499999999993</v>
      </c>
      <c r="M36" s="121">
        <f t="shared" si="2"/>
        <v>4389.5499999999993</v>
      </c>
      <c r="N36" s="121">
        <f t="shared" si="3"/>
        <v>4389.5499999999993</v>
      </c>
      <c r="O36" s="121">
        <f t="shared" si="21"/>
        <v>4389.5499999999993</v>
      </c>
      <c r="P36" s="121">
        <f t="shared" si="22"/>
        <v>4264</v>
      </c>
      <c r="Q36" s="68"/>
      <c r="R36" s="839">
        <v>3836.35</v>
      </c>
      <c r="S36" s="1012">
        <f t="shared" si="23"/>
        <v>427.65000000000009</v>
      </c>
      <c r="T36" s="839"/>
      <c r="U36" s="1316">
        <f t="shared" si="24"/>
        <v>-0.12602658586871079</v>
      </c>
      <c r="V36" s="1501">
        <f>2*4*(4+1+0.5)</f>
        <v>44</v>
      </c>
      <c r="W36" s="1501">
        <f t="shared" si="25"/>
        <v>87.189772727272725</v>
      </c>
      <c r="X36" s="884"/>
      <c r="Y36" s="839"/>
      <c r="Z36" s="839"/>
      <c r="AA36" s="839"/>
    </row>
    <row r="37" spans="1:27" ht="18">
      <c r="A37" s="1350" t="s">
        <v>2046</v>
      </c>
      <c r="B37" s="1382" t="s">
        <v>2775</v>
      </c>
      <c r="C37" s="238" t="s">
        <v>2768</v>
      </c>
      <c r="D37" s="42"/>
      <c r="E37" s="43"/>
      <c r="F37" s="44"/>
      <c r="G37" s="44"/>
      <c r="H37" s="44">
        <v>2263</v>
      </c>
      <c r="I37" s="44">
        <v>2489</v>
      </c>
      <c r="J37" s="44">
        <f t="shared" si="19"/>
        <v>2263</v>
      </c>
      <c r="K37" s="121">
        <f t="shared" si="13"/>
        <v>2263</v>
      </c>
      <c r="L37" s="121">
        <f t="shared" si="20"/>
        <v>2602.4499999999998</v>
      </c>
      <c r="M37" s="121">
        <f t="shared" si="2"/>
        <v>2602.4499999999998</v>
      </c>
      <c r="N37" s="121">
        <f t="shared" si="3"/>
        <v>2602.4499999999998</v>
      </c>
      <c r="O37" s="121">
        <f t="shared" si="21"/>
        <v>2602.4499999999998</v>
      </c>
      <c r="P37" s="121">
        <f t="shared" si="22"/>
        <v>2477</v>
      </c>
      <c r="Q37" s="156"/>
      <c r="R37" s="839">
        <v>2275.8200000000002</v>
      </c>
      <c r="S37" s="1012">
        <f t="shared" si="23"/>
        <v>201.17999999999984</v>
      </c>
      <c r="T37" s="839"/>
      <c r="U37" s="1316">
        <f t="shared" si="24"/>
        <v>-0.12550865530557731</v>
      </c>
      <c r="V37" s="1501">
        <f>2*1.5*(1.5+1+1)</f>
        <v>10.5</v>
      </c>
      <c r="W37" s="1503">
        <f t="shared" si="25"/>
        <v>216.74476190476193</v>
      </c>
      <c r="X37" s="884"/>
      <c r="Y37" s="839"/>
      <c r="Z37" s="839"/>
      <c r="AA37" s="839"/>
    </row>
    <row r="38" spans="1:27" ht="18">
      <c r="A38" s="1350" t="s">
        <v>2047</v>
      </c>
      <c r="B38" s="1382" t="s">
        <v>2776</v>
      </c>
      <c r="C38" s="238" t="s">
        <v>2768</v>
      </c>
      <c r="D38" s="26"/>
      <c r="E38" s="27"/>
      <c r="F38" s="28"/>
      <c r="G38" s="28"/>
      <c r="H38" s="28">
        <v>3008</v>
      </c>
      <c r="I38" s="44">
        <v>3308</v>
      </c>
      <c r="J38" s="44">
        <f t="shared" si="19"/>
        <v>3008</v>
      </c>
      <c r="K38" s="121">
        <f t="shared" si="13"/>
        <v>3008</v>
      </c>
      <c r="L38" s="121">
        <f t="shared" si="20"/>
        <v>3459.2</v>
      </c>
      <c r="M38" s="121">
        <f t="shared" si="2"/>
        <v>3459.2</v>
      </c>
      <c r="N38" s="121">
        <f t="shared" si="3"/>
        <v>3459.2</v>
      </c>
      <c r="O38" s="121">
        <f t="shared" si="21"/>
        <v>3459.2</v>
      </c>
      <c r="P38" s="121">
        <f t="shared" si="22"/>
        <v>3334</v>
      </c>
      <c r="Q38" s="29"/>
      <c r="R38" s="839">
        <v>3023.88</v>
      </c>
      <c r="S38" s="1012">
        <f t="shared" si="23"/>
        <v>310.11999999999989</v>
      </c>
      <c r="T38" s="839">
        <v>3384</v>
      </c>
      <c r="U38" s="1316">
        <f t="shared" si="24"/>
        <v>-0.12584412580943563</v>
      </c>
      <c r="V38" s="1501">
        <f>2*2*(2+1+1)</f>
        <v>16</v>
      </c>
      <c r="W38" s="1503">
        <f t="shared" si="25"/>
        <v>188.99250000000001</v>
      </c>
      <c r="X38" s="884"/>
      <c r="Y38" s="839"/>
      <c r="Z38" s="839"/>
      <c r="AA38" s="839"/>
    </row>
    <row r="39" spans="1:27" ht="18">
      <c r="A39" s="1350" t="s">
        <v>2048</v>
      </c>
      <c r="B39" s="1382" t="s">
        <v>2777</v>
      </c>
      <c r="C39" s="238" t="s">
        <v>2768</v>
      </c>
      <c r="D39" s="26"/>
      <c r="E39" s="27"/>
      <c r="F39" s="28"/>
      <c r="G39" s="28"/>
      <c r="H39" s="28">
        <v>4269</v>
      </c>
      <c r="I39" s="44">
        <v>4695</v>
      </c>
      <c r="J39" s="44">
        <f t="shared" si="19"/>
        <v>4269</v>
      </c>
      <c r="K39" s="121">
        <f t="shared" si="13"/>
        <v>4269</v>
      </c>
      <c r="L39" s="121">
        <f t="shared" si="20"/>
        <v>4909.3499999999995</v>
      </c>
      <c r="M39" s="121">
        <f t="shared" si="2"/>
        <v>4909.3499999999995</v>
      </c>
      <c r="N39" s="121">
        <f t="shared" si="3"/>
        <v>4909.3499999999995</v>
      </c>
      <c r="O39" s="121">
        <f t="shared" si="21"/>
        <v>4909.3499999999995</v>
      </c>
      <c r="P39" s="121">
        <f t="shared" si="22"/>
        <v>4784</v>
      </c>
      <c r="Q39" s="29"/>
      <c r="R39" s="839">
        <v>4291.74</v>
      </c>
      <c r="S39" s="1012">
        <f t="shared" si="23"/>
        <v>492.26000000000022</v>
      </c>
      <c r="T39" s="839">
        <v>4800</v>
      </c>
      <c r="U39" s="1316">
        <f t="shared" si="24"/>
        <v>-0.1258028048519661</v>
      </c>
      <c r="V39" s="1501">
        <f>2*3*(3+1+1)</f>
        <v>30</v>
      </c>
      <c r="W39" s="1501">
        <f t="shared" si="25"/>
        <v>143.05799999999999</v>
      </c>
      <c r="X39" s="884"/>
      <c r="Y39" s="839"/>
      <c r="Z39" s="839"/>
      <c r="AA39" s="839"/>
    </row>
    <row r="40" spans="1:27" ht="18">
      <c r="A40" s="1350" t="s">
        <v>2049</v>
      </c>
      <c r="B40" s="1382" t="s">
        <v>2778</v>
      </c>
      <c r="C40" s="238" t="s">
        <v>2768</v>
      </c>
      <c r="D40" s="26"/>
      <c r="E40" s="27"/>
      <c r="F40" s="28"/>
      <c r="G40" s="28"/>
      <c r="H40" s="28">
        <v>5497</v>
      </c>
      <c r="I40" s="44">
        <v>6046</v>
      </c>
      <c r="J40" s="44">
        <f t="shared" si="19"/>
        <v>5497</v>
      </c>
      <c r="K40" s="121">
        <f t="shared" si="13"/>
        <v>5497</v>
      </c>
      <c r="L40" s="121">
        <f t="shared" si="20"/>
        <v>6321.5499999999993</v>
      </c>
      <c r="M40" s="121">
        <f t="shared" si="2"/>
        <v>6321.5499999999993</v>
      </c>
      <c r="N40" s="121">
        <f t="shared" si="3"/>
        <v>6321.5499999999993</v>
      </c>
      <c r="O40" s="121">
        <f t="shared" si="21"/>
        <v>6321.5499999999993</v>
      </c>
      <c r="P40" s="121">
        <f t="shared" si="22"/>
        <v>6196</v>
      </c>
      <c r="Q40" s="29"/>
      <c r="R40" s="839">
        <v>5526.83</v>
      </c>
      <c r="S40" s="1012">
        <f t="shared" si="23"/>
        <v>669.17000000000007</v>
      </c>
      <c r="T40" s="839"/>
      <c r="U40" s="1316">
        <f t="shared" si="24"/>
        <v>-0.12571600319541876</v>
      </c>
      <c r="V40" s="1501">
        <f>2*4*(4+1+1)</f>
        <v>48</v>
      </c>
      <c r="W40" s="1501">
        <f t="shared" si="25"/>
        <v>115.14229166666667</v>
      </c>
      <c r="X40" s="884"/>
      <c r="Y40" s="839"/>
      <c r="Z40" s="839"/>
      <c r="AA40" s="839"/>
    </row>
    <row r="41" spans="1:27" ht="18">
      <c r="A41" s="1350" t="s">
        <v>2050</v>
      </c>
      <c r="B41" s="1382" t="s">
        <v>2779</v>
      </c>
      <c r="C41" s="238" t="s">
        <v>2768</v>
      </c>
      <c r="D41" s="26"/>
      <c r="E41" s="27"/>
      <c r="F41" s="28"/>
      <c r="G41" s="28"/>
      <c r="H41" s="28">
        <v>5622</v>
      </c>
      <c r="I41" s="44">
        <v>6184</v>
      </c>
      <c r="J41" s="44">
        <f t="shared" si="19"/>
        <v>5622</v>
      </c>
      <c r="K41" s="121">
        <f t="shared" si="13"/>
        <v>5622</v>
      </c>
      <c r="L41" s="121">
        <f t="shared" si="20"/>
        <v>6465.2999999999993</v>
      </c>
      <c r="M41" s="121">
        <f t="shared" si="2"/>
        <v>6465.2999999999993</v>
      </c>
      <c r="N41" s="121">
        <f t="shared" si="3"/>
        <v>6465.2999999999993</v>
      </c>
      <c r="O41" s="121">
        <f t="shared" si="21"/>
        <v>6465.2999999999993</v>
      </c>
      <c r="P41" s="121">
        <f t="shared" si="22"/>
        <v>6340</v>
      </c>
      <c r="Q41" s="29"/>
      <c r="R41" s="839">
        <v>5655.65</v>
      </c>
      <c r="S41" s="1012">
        <f t="shared" si="23"/>
        <v>684.35000000000036</v>
      </c>
      <c r="T41" s="839"/>
      <c r="U41" s="1316">
        <f t="shared" si="24"/>
        <v>-0.12523007439716638</v>
      </c>
      <c r="V41" s="1501">
        <f>2*3*(3+2+0.5)</f>
        <v>33</v>
      </c>
      <c r="W41" s="1501">
        <f t="shared" si="25"/>
        <v>171.38333333333333</v>
      </c>
      <c r="X41" s="884"/>
      <c r="Y41" s="839"/>
      <c r="Z41" s="839"/>
      <c r="AA41" s="839"/>
    </row>
    <row r="42" spans="1:27" ht="18">
      <c r="A42" s="1350" t="s">
        <v>2051</v>
      </c>
      <c r="B42" s="1382" t="s">
        <v>2780</v>
      </c>
      <c r="C42" s="238" t="s">
        <v>2768</v>
      </c>
      <c r="D42" s="26"/>
      <c r="E42" s="27"/>
      <c r="F42" s="28"/>
      <c r="G42" s="28"/>
      <c r="H42" s="28">
        <v>7122</v>
      </c>
      <c r="I42" s="44">
        <v>7834</v>
      </c>
      <c r="J42" s="44">
        <f t="shared" si="19"/>
        <v>7122</v>
      </c>
      <c r="K42" s="121">
        <f t="shared" si="13"/>
        <v>7122</v>
      </c>
      <c r="L42" s="121">
        <f t="shared" si="20"/>
        <v>8190.2999999999993</v>
      </c>
      <c r="M42" s="121">
        <f t="shared" si="2"/>
        <v>8190.2999999999993</v>
      </c>
      <c r="N42" s="121">
        <f t="shared" si="3"/>
        <v>8190.2999999999993</v>
      </c>
      <c r="O42" s="121">
        <f t="shared" si="21"/>
        <v>8190.2999999999993</v>
      </c>
      <c r="P42" s="121">
        <f t="shared" si="22"/>
        <v>8065</v>
      </c>
      <c r="Q42" s="29"/>
      <c r="R42" s="839"/>
      <c r="S42" s="1012">
        <f t="shared" si="23"/>
        <v>8065</v>
      </c>
      <c r="T42" s="839"/>
      <c r="U42" s="1316"/>
      <c r="V42" s="1501">
        <f>2*4*(4+2+0.5)</f>
        <v>52</v>
      </c>
      <c r="W42" s="1501">
        <f t="shared" si="25"/>
        <v>0</v>
      </c>
      <c r="X42" s="884"/>
      <c r="Y42" s="839"/>
      <c r="Z42" s="839"/>
      <c r="AA42" s="839"/>
    </row>
    <row r="43" spans="1:27" ht="18">
      <c r="A43" s="1350" t="s">
        <v>2052</v>
      </c>
      <c r="B43" s="1382" t="s">
        <v>2781</v>
      </c>
      <c r="C43" s="238" t="s">
        <v>2768</v>
      </c>
      <c r="D43" s="26"/>
      <c r="E43" s="27"/>
      <c r="F43" s="28"/>
      <c r="G43" s="28"/>
      <c r="H43" s="28">
        <v>8815</v>
      </c>
      <c r="I43" s="44">
        <v>9696</v>
      </c>
      <c r="J43" s="44">
        <f t="shared" si="19"/>
        <v>8815</v>
      </c>
      <c r="K43" s="121">
        <f t="shared" si="13"/>
        <v>8815</v>
      </c>
      <c r="L43" s="121">
        <f t="shared" si="20"/>
        <v>10137.25</v>
      </c>
      <c r="M43" s="121">
        <f t="shared" si="2"/>
        <v>10137.25</v>
      </c>
      <c r="N43" s="121">
        <f t="shared" si="3"/>
        <v>10137.25</v>
      </c>
      <c r="O43" s="121">
        <f t="shared" si="21"/>
        <v>10137.25</v>
      </c>
      <c r="P43" s="121">
        <f t="shared" si="22"/>
        <v>10012</v>
      </c>
      <c r="Q43" s="29"/>
      <c r="R43" s="839"/>
      <c r="S43" s="1012">
        <f t="shared" si="23"/>
        <v>10012</v>
      </c>
      <c r="T43" s="839"/>
      <c r="U43" s="1316"/>
      <c r="V43" s="1501">
        <f>2*5*(5+2+0.5)</f>
        <v>75</v>
      </c>
      <c r="W43" s="1501">
        <f t="shared" si="25"/>
        <v>0</v>
      </c>
      <c r="X43" s="884"/>
      <c r="Y43" s="839"/>
      <c r="Z43" s="839"/>
      <c r="AA43" s="839"/>
    </row>
    <row r="44" spans="1:27" ht="18">
      <c r="A44" s="1350" t="s">
        <v>2053</v>
      </c>
      <c r="B44" s="1382" t="s">
        <v>2782</v>
      </c>
      <c r="C44" s="238" t="s">
        <v>2768</v>
      </c>
      <c r="D44" s="26"/>
      <c r="E44" s="27"/>
      <c r="F44" s="28"/>
      <c r="G44" s="28"/>
      <c r="H44" s="28">
        <v>7734</v>
      </c>
      <c r="I44" s="44">
        <v>8507</v>
      </c>
      <c r="J44" s="44">
        <f t="shared" si="19"/>
        <v>7734</v>
      </c>
      <c r="K44" s="121">
        <f t="shared" si="13"/>
        <v>7734</v>
      </c>
      <c r="L44" s="121">
        <f t="shared" si="20"/>
        <v>8894.0999999999985</v>
      </c>
      <c r="M44" s="121">
        <f t="shared" si="2"/>
        <v>8894.0999999999985</v>
      </c>
      <c r="N44" s="121">
        <f t="shared" si="3"/>
        <v>8894.0999999999985</v>
      </c>
      <c r="O44" s="121">
        <f t="shared" si="21"/>
        <v>8894.0999999999985</v>
      </c>
      <c r="P44" s="121">
        <f t="shared" si="22"/>
        <v>8769</v>
      </c>
      <c r="Q44" s="29"/>
      <c r="R44" s="839">
        <v>7780.05</v>
      </c>
      <c r="S44" s="1012">
        <f t="shared" si="23"/>
        <v>988.94999999999982</v>
      </c>
      <c r="T44" s="839"/>
      <c r="U44" s="1316">
        <f t="shared" si="24"/>
        <v>-0.12525719297062082</v>
      </c>
      <c r="V44" s="1501">
        <f>2*3*(3+2+1)</f>
        <v>36</v>
      </c>
      <c r="W44" s="1503">
        <f t="shared" si="25"/>
        <v>216.11250000000001</v>
      </c>
      <c r="X44" s="884"/>
      <c r="Y44" s="839"/>
      <c r="Z44" s="839"/>
      <c r="AA44" s="839"/>
    </row>
    <row r="45" spans="1:27" ht="18">
      <c r="A45" s="1350" t="s">
        <v>2054</v>
      </c>
      <c r="B45" s="1382" t="s">
        <v>2783</v>
      </c>
      <c r="C45" s="238" t="s">
        <v>2768</v>
      </c>
      <c r="D45" s="26"/>
      <c r="E45" s="27"/>
      <c r="F45" s="28"/>
      <c r="G45" s="28"/>
      <c r="H45" s="28">
        <v>9730</v>
      </c>
      <c r="I45" s="44">
        <v>10703</v>
      </c>
      <c r="J45" s="44">
        <f t="shared" si="19"/>
        <v>9730</v>
      </c>
      <c r="K45" s="121">
        <f t="shared" si="13"/>
        <v>9730</v>
      </c>
      <c r="L45" s="121">
        <f t="shared" si="20"/>
        <v>11189.5</v>
      </c>
      <c r="M45" s="121">
        <f t="shared" si="2"/>
        <v>11189.5</v>
      </c>
      <c r="N45" s="121">
        <f t="shared" si="3"/>
        <v>11189.5</v>
      </c>
      <c r="O45" s="121">
        <f t="shared" si="21"/>
        <v>11189.5</v>
      </c>
      <c r="P45" s="121">
        <f t="shared" si="22"/>
        <v>11064</v>
      </c>
      <c r="Q45" s="29"/>
      <c r="R45" s="839"/>
      <c r="S45" s="1012">
        <f t="shared" si="23"/>
        <v>11064</v>
      </c>
      <c r="T45" s="839"/>
      <c r="U45" s="1316"/>
      <c r="V45" s="1501">
        <f>2*4*(4+2+1)</f>
        <v>56</v>
      </c>
      <c r="W45" s="1501">
        <f t="shared" si="25"/>
        <v>0</v>
      </c>
      <c r="X45" s="884"/>
      <c r="Y45" s="839"/>
      <c r="Z45" s="839"/>
      <c r="AA45" s="839"/>
    </row>
    <row r="46" spans="1:27" ht="18">
      <c r="A46" s="1350" t="s">
        <v>2055</v>
      </c>
      <c r="B46" s="1382" t="s">
        <v>2784</v>
      </c>
      <c r="C46" s="238" t="s">
        <v>2768</v>
      </c>
      <c r="D46" s="26"/>
      <c r="E46" s="27"/>
      <c r="F46" s="28"/>
      <c r="G46" s="28"/>
      <c r="H46" s="28">
        <v>4441</v>
      </c>
      <c r="I46" s="44">
        <v>4885</v>
      </c>
      <c r="J46" s="44">
        <f t="shared" si="19"/>
        <v>4441</v>
      </c>
      <c r="K46" s="121">
        <f t="shared" si="13"/>
        <v>4441</v>
      </c>
      <c r="L46" s="121">
        <f t="shared" si="20"/>
        <v>5107.1499999999996</v>
      </c>
      <c r="M46" s="121">
        <f t="shared" si="2"/>
        <v>5107.1499999999996</v>
      </c>
      <c r="N46" s="121">
        <f t="shared" si="3"/>
        <v>5107.1499999999996</v>
      </c>
      <c r="O46" s="121">
        <f t="shared" si="21"/>
        <v>5107.1499999999996</v>
      </c>
      <c r="P46" s="121">
        <f t="shared" si="22"/>
        <v>4982</v>
      </c>
      <c r="Q46" s="29"/>
      <c r="R46" s="839">
        <v>4466.8900000000003</v>
      </c>
      <c r="S46" s="1012">
        <f t="shared" si="23"/>
        <v>515.10999999999967</v>
      </c>
      <c r="T46" s="839">
        <v>4992</v>
      </c>
      <c r="U46" s="1316">
        <f t="shared" si="24"/>
        <v>-0.12536541906934384</v>
      </c>
      <c r="V46" s="1501">
        <f>2*3*(3+1.5+0.5)</f>
        <v>30</v>
      </c>
      <c r="W46" s="1501">
        <f t="shared" si="25"/>
        <v>148.89633333333333</v>
      </c>
      <c r="X46" s="884"/>
      <c r="Y46" s="839"/>
      <c r="Z46" s="839"/>
      <c r="AA46" s="839"/>
    </row>
    <row r="47" spans="1:27" ht="18">
      <c r="A47" s="1350" t="s">
        <v>2056</v>
      </c>
      <c r="B47" s="1382" t="s">
        <v>2785</v>
      </c>
      <c r="C47" s="238" t="s">
        <v>2768</v>
      </c>
      <c r="D47" s="26"/>
      <c r="E47" s="27"/>
      <c r="F47" s="28"/>
      <c r="G47" s="28"/>
      <c r="H47" s="28">
        <v>5622</v>
      </c>
      <c r="I47" s="44">
        <v>6184</v>
      </c>
      <c r="J47" s="44">
        <f t="shared" si="19"/>
        <v>5622</v>
      </c>
      <c r="K47" s="121">
        <f t="shared" si="13"/>
        <v>5622</v>
      </c>
      <c r="L47" s="121">
        <f t="shared" si="20"/>
        <v>6465.2999999999993</v>
      </c>
      <c r="M47" s="121">
        <f t="shared" si="2"/>
        <v>6465.2999999999993</v>
      </c>
      <c r="N47" s="121">
        <f t="shared" si="3"/>
        <v>6465.2999999999993</v>
      </c>
      <c r="O47" s="121">
        <f t="shared" si="21"/>
        <v>6465.2999999999993</v>
      </c>
      <c r="P47" s="121">
        <f t="shared" si="22"/>
        <v>6340</v>
      </c>
      <c r="Q47" s="29"/>
      <c r="R47" s="839">
        <v>5655.65</v>
      </c>
      <c r="S47" s="1012">
        <f t="shared" si="23"/>
        <v>684.35000000000036</v>
      </c>
      <c r="T47" s="839"/>
      <c r="U47" s="1316">
        <f t="shared" si="24"/>
        <v>-0.12523007439716638</v>
      </c>
      <c r="V47" s="1501">
        <f>2*4*(4+1.5+0.5)</f>
        <v>48</v>
      </c>
      <c r="W47" s="1501">
        <f t="shared" si="25"/>
        <v>117.82604166666665</v>
      </c>
      <c r="X47" s="884"/>
      <c r="Y47" s="839"/>
      <c r="Z47" s="839"/>
      <c r="AA47" s="839"/>
    </row>
    <row r="48" spans="1:27" ht="18">
      <c r="A48" s="1350" t="s">
        <v>2057</v>
      </c>
      <c r="B48" s="1382" t="s">
        <v>2786</v>
      </c>
      <c r="C48" s="238" t="s">
        <v>2768</v>
      </c>
      <c r="D48" s="26"/>
      <c r="E48" s="27"/>
      <c r="F48" s="28"/>
      <c r="G48" s="28"/>
      <c r="H48" s="28">
        <v>6969</v>
      </c>
      <c r="I48" s="44">
        <v>7665</v>
      </c>
      <c r="J48" s="44">
        <f t="shared" si="19"/>
        <v>6969</v>
      </c>
      <c r="K48" s="121">
        <f t="shared" si="13"/>
        <v>6969</v>
      </c>
      <c r="L48" s="121">
        <f t="shared" si="20"/>
        <v>8014.3499999999995</v>
      </c>
      <c r="M48" s="121">
        <f t="shared" si="2"/>
        <v>8014.3499999999995</v>
      </c>
      <c r="N48" s="121">
        <f t="shared" si="3"/>
        <v>8014.3499999999995</v>
      </c>
      <c r="O48" s="121">
        <f t="shared" si="21"/>
        <v>8014.3499999999995</v>
      </c>
      <c r="P48" s="121">
        <f t="shared" si="22"/>
        <v>7889</v>
      </c>
      <c r="Q48" s="29"/>
      <c r="R48" s="839"/>
      <c r="S48" s="1012">
        <f t="shared" si="23"/>
        <v>7889</v>
      </c>
      <c r="T48" s="839"/>
      <c r="U48" s="1316"/>
      <c r="V48" s="1501">
        <f>2*5*(5+1.5+0.5)</f>
        <v>70</v>
      </c>
      <c r="W48" s="1501">
        <f t="shared" si="25"/>
        <v>0</v>
      </c>
      <c r="X48" s="884"/>
      <c r="Y48" s="839"/>
      <c r="Z48" s="839"/>
      <c r="AA48" s="839"/>
    </row>
    <row r="49" spans="1:27" ht="18">
      <c r="A49" s="1350" t="s">
        <v>2058</v>
      </c>
      <c r="B49" s="1382" t="s">
        <v>2787</v>
      </c>
      <c r="C49" s="238" t="s">
        <v>2768</v>
      </c>
      <c r="D49" s="26"/>
      <c r="E49" s="27"/>
      <c r="F49" s="28"/>
      <c r="G49" s="28"/>
      <c r="H49" s="28">
        <v>6254</v>
      </c>
      <c r="I49" s="28">
        <v>5798</v>
      </c>
      <c r="J49" s="44">
        <f t="shared" si="19"/>
        <v>6254</v>
      </c>
      <c r="K49" s="121">
        <f t="shared" si="13"/>
        <v>6254</v>
      </c>
      <c r="L49" s="121">
        <f t="shared" si="20"/>
        <v>7192.0999999999995</v>
      </c>
      <c r="M49" s="121">
        <f t="shared" si="2"/>
        <v>7192.0999999999995</v>
      </c>
      <c r="N49" s="121">
        <f t="shared" si="3"/>
        <v>7192.0999999999995</v>
      </c>
      <c r="O49" s="121">
        <f t="shared" si="21"/>
        <v>7192.0999999999995</v>
      </c>
      <c r="P49" s="121">
        <f t="shared" si="22"/>
        <v>7067</v>
      </c>
      <c r="Q49" s="29"/>
      <c r="R49" s="839">
        <v>6290.71</v>
      </c>
      <c r="S49" s="1012">
        <f t="shared" si="23"/>
        <v>776.29</v>
      </c>
      <c r="T49" s="839">
        <v>7032</v>
      </c>
      <c r="U49" s="1316">
        <f t="shared" si="24"/>
        <v>-0.12533057104322792</v>
      </c>
      <c r="V49" s="1501">
        <f>2*3*(3+1.5+1)</f>
        <v>33</v>
      </c>
      <c r="W49" s="1503">
        <f t="shared" si="25"/>
        <v>190.62757575757576</v>
      </c>
      <c r="X49" s="884"/>
      <c r="Y49" s="839"/>
      <c r="Z49" s="839"/>
      <c r="AA49" s="839"/>
    </row>
    <row r="50" spans="1:27" ht="18">
      <c r="A50" s="1350" t="s">
        <v>2059</v>
      </c>
      <c r="B50" s="1382" t="s">
        <v>2788</v>
      </c>
      <c r="C50" s="238" t="s">
        <v>2768</v>
      </c>
      <c r="D50" s="26"/>
      <c r="E50" s="27"/>
      <c r="F50" s="28"/>
      <c r="G50" s="28"/>
      <c r="H50" s="28">
        <v>7883</v>
      </c>
      <c r="I50" s="44">
        <v>8671</v>
      </c>
      <c r="J50" s="44">
        <f t="shared" si="19"/>
        <v>7883</v>
      </c>
      <c r="K50" s="121">
        <f t="shared" si="13"/>
        <v>7883</v>
      </c>
      <c r="L50" s="121">
        <f t="shared" si="20"/>
        <v>9065.4499999999989</v>
      </c>
      <c r="M50" s="121">
        <f t="shared" si="2"/>
        <v>9065.4499999999989</v>
      </c>
      <c r="N50" s="121">
        <f t="shared" si="3"/>
        <v>9065.4499999999989</v>
      </c>
      <c r="O50" s="121">
        <f t="shared" si="21"/>
        <v>9065.4499999999989</v>
      </c>
      <c r="P50" s="121">
        <f t="shared" si="22"/>
        <v>8940</v>
      </c>
      <c r="Q50" s="29"/>
      <c r="R50" s="839">
        <v>7930.34</v>
      </c>
      <c r="S50" s="1012">
        <f t="shared" si="23"/>
        <v>1009.6599999999999</v>
      </c>
      <c r="T50" s="839"/>
      <c r="U50" s="1316">
        <f t="shared" si="24"/>
        <v>-0.12521275832970222</v>
      </c>
      <c r="V50" s="1501">
        <f>2*4*(4+1.5+1)</f>
        <v>52</v>
      </c>
      <c r="W50" s="1501">
        <f t="shared" si="25"/>
        <v>152.50653846153847</v>
      </c>
      <c r="X50" s="884"/>
      <c r="Y50" s="839"/>
      <c r="Z50" s="839"/>
      <c r="AA50" s="839"/>
    </row>
    <row r="51" spans="1:27" ht="18">
      <c r="A51" s="1350" t="s">
        <v>2060</v>
      </c>
      <c r="B51" s="1382" t="s">
        <v>2789</v>
      </c>
      <c r="C51" s="238" t="s">
        <v>2768</v>
      </c>
      <c r="D51" s="26"/>
      <c r="E51" s="27"/>
      <c r="F51" s="28"/>
      <c r="G51" s="28"/>
      <c r="H51" s="28">
        <v>9747</v>
      </c>
      <c r="I51" s="44">
        <v>10721</v>
      </c>
      <c r="J51" s="44">
        <f t="shared" si="19"/>
        <v>9747</v>
      </c>
      <c r="K51" s="121">
        <f t="shared" si="13"/>
        <v>9747</v>
      </c>
      <c r="L51" s="121">
        <f t="shared" si="20"/>
        <v>11209.05</v>
      </c>
      <c r="M51" s="121">
        <f t="shared" si="2"/>
        <v>11209.05</v>
      </c>
      <c r="N51" s="121">
        <f t="shared" si="3"/>
        <v>11209.05</v>
      </c>
      <c r="O51" s="121">
        <f t="shared" si="21"/>
        <v>11209.05</v>
      </c>
      <c r="P51" s="121">
        <f t="shared" si="22"/>
        <v>11084</v>
      </c>
      <c r="Q51" s="29"/>
      <c r="R51" s="839"/>
      <c r="S51" s="1012">
        <f t="shared" si="23"/>
        <v>11084</v>
      </c>
      <c r="T51" s="839"/>
      <c r="U51" s="1316"/>
      <c r="V51" s="1501">
        <f>2*5*(5+1.5+1)</f>
        <v>75</v>
      </c>
      <c r="W51" s="1501">
        <f t="shared" si="25"/>
        <v>0</v>
      </c>
      <c r="X51" s="884"/>
      <c r="Y51" s="839"/>
      <c r="Z51" s="839"/>
      <c r="AA51" s="839"/>
    </row>
    <row r="52" spans="1:27" ht="117">
      <c r="A52" s="1349">
        <v>8.1999999999999993</v>
      </c>
      <c r="B52" s="1384" t="s">
        <v>2792</v>
      </c>
      <c r="C52" s="1343"/>
      <c r="D52" s="378"/>
      <c r="E52" s="377"/>
      <c r="F52" s="442"/>
      <c r="G52" s="442"/>
      <c r="H52" s="442"/>
      <c r="I52" s="442"/>
      <c r="J52" s="442"/>
      <c r="K52" s="443"/>
      <c r="L52" s="443"/>
      <c r="M52" s="443"/>
      <c r="N52" s="443"/>
      <c r="O52" s="443"/>
      <c r="P52" s="443"/>
      <c r="Q52" s="444"/>
      <c r="R52" s="839" t="s">
        <v>2638</v>
      </c>
      <c r="S52" s="1478" t="s">
        <v>2614</v>
      </c>
      <c r="T52" s="1478" t="s">
        <v>2916</v>
      </c>
      <c r="U52" s="1012"/>
      <c r="V52" s="839"/>
      <c r="W52" s="839"/>
      <c r="X52" s="839"/>
      <c r="Y52" s="839"/>
      <c r="Z52" s="839"/>
      <c r="AA52" s="839"/>
    </row>
    <row r="53" spans="1:27" ht="18">
      <c r="A53" s="1350" t="s">
        <v>2061</v>
      </c>
      <c r="B53" s="1382" t="s">
        <v>2771</v>
      </c>
      <c r="C53" s="238" t="s">
        <v>2768</v>
      </c>
      <c r="D53" s="26"/>
      <c r="E53" s="27"/>
      <c r="F53" s="28"/>
      <c r="G53" s="28"/>
      <c r="H53" s="28">
        <v>1381</v>
      </c>
      <c r="I53" s="28">
        <v>1519</v>
      </c>
      <c r="J53" s="44">
        <f t="shared" si="19"/>
        <v>1381</v>
      </c>
      <c r="K53" s="121">
        <f t="shared" si="13"/>
        <v>1381</v>
      </c>
      <c r="L53" s="121">
        <f t="shared" si="20"/>
        <v>1588.1499999999999</v>
      </c>
      <c r="M53" s="121">
        <f t="shared" si="2"/>
        <v>1588.1499999999999</v>
      </c>
      <c r="N53" s="121">
        <f t="shared" si="3"/>
        <v>1588.1499999999999</v>
      </c>
      <c r="O53" s="121">
        <f>N53</f>
        <v>1588.1499999999999</v>
      </c>
      <c r="P53" s="121">
        <f>TRUNC(O53-125,0)</f>
        <v>1463</v>
      </c>
      <c r="Q53" s="1565"/>
      <c r="R53" s="839">
        <v>1340.18</v>
      </c>
      <c r="S53" s="1012">
        <f>P53-R53</f>
        <v>122.81999999999994</v>
      </c>
      <c r="T53" s="1316">
        <f t="shared" ref="T53:T61" si="26">(R53-O53)/O53</f>
        <v>-0.15613764442905256</v>
      </c>
      <c r="V53" s="839"/>
      <c r="W53" s="1318"/>
      <c r="X53" s="839"/>
      <c r="Y53" s="839"/>
      <c r="Z53" s="839"/>
      <c r="AA53" s="839"/>
    </row>
    <row r="54" spans="1:27" ht="18">
      <c r="A54" s="1350" t="s">
        <v>2062</v>
      </c>
      <c r="B54" s="1382" t="s">
        <v>2772</v>
      </c>
      <c r="C54" s="238" t="s">
        <v>2768</v>
      </c>
      <c r="D54" s="26"/>
      <c r="E54" s="27"/>
      <c r="F54" s="28"/>
      <c r="G54" s="28"/>
      <c r="H54" s="28">
        <v>1883</v>
      </c>
      <c r="I54" s="28">
        <v>2071</v>
      </c>
      <c r="J54" s="44">
        <f t="shared" si="19"/>
        <v>1883</v>
      </c>
      <c r="K54" s="121">
        <f t="shared" si="13"/>
        <v>1883</v>
      </c>
      <c r="L54" s="121">
        <f t="shared" si="20"/>
        <v>2165.4499999999998</v>
      </c>
      <c r="M54" s="121">
        <f t="shared" si="2"/>
        <v>2165.4499999999998</v>
      </c>
      <c r="N54" s="121">
        <f t="shared" si="3"/>
        <v>2165.4499999999998</v>
      </c>
      <c r="O54" s="121">
        <f t="shared" ref="O54:O71" si="27">N54</f>
        <v>2165.4499999999998</v>
      </c>
      <c r="P54" s="121">
        <f t="shared" ref="P54:P71" si="28">TRUNC(O54-125,0)</f>
        <v>2040</v>
      </c>
      <c r="Q54" s="1317"/>
      <c r="R54" s="839">
        <v>1845.29</v>
      </c>
      <c r="S54" s="1012">
        <f t="shared" ref="S54:S71" si="29">P54-R54</f>
        <v>194.71000000000004</v>
      </c>
      <c r="T54" s="1316">
        <f t="shared" si="26"/>
        <v>-0.14784917684545931</v>
      </c>
      <c r="V54" s="839"/>
      <c r="W54" s="839"/>
      <c r="X54" s="839"/>
      <c r="Y54" s="839"/>
      <c r="Z54" s="839"/>
      <c r="AA54" s="839"/>
    </row>
    <row r="55" spans="1:27" ht="18">
      <c r="A55" s="1350" t="s">
        <v>2063</v>
      </c>
      <c r="B55" s="1382" t="s">
        <v>2773</v>
      </c>
      <c r="C55" s="238" t="s">
        <v>2768</v>
      </c>
      <c r="D55" s="26"/>
      <c r="E55" s="27"/>
      <c r="F55" s="28"/>
      <c r="G55" s="28"/>
      <c r="H55" s="28">
        <v>2703</v>
      </c>
      <c r="I55" s="28">
        <v>2973</v>
      </c>
      <c r="J55" s="44">
        <f t="shared" si="19"/>
        <v>2703</v>
      </c>
      <c r="K55" s="121">
        <f t="shared" si="13"/>
        <v>2703</v>
      </c>
      <c r="L55" s="121">
        <f t="shared" si="20"/>
        <v>3108.45</v>
      </c>
      <c r="M55" s="121">
        <f t="shared" si="2"/>
        <v>3108.45</v>
      </c>
      <c r="N55" s="121">
        <f t="shared" si="3"/>
        <v>3108.45</v>
      </c>
      <c r="O55" s="121">
        <f t="shared" si="27"/>
        <v>3108.45</v>
      </c>
      <c r="P55" s="121">
        <f t="shared" si="28"/>
        <v>2983</v>
      </c>
      <c r="Q55" s="1317"/>
      <c r="R55" s="839">
        <v>2614.8200000000002</v>
      </c>
      <c r="S55" s="1012">
        <f t="shared" si="29"/>
        <v>368.17999999999984</v>
      </c>
      <c r="T55" s="1316">
        <f t="shared" si="26"/>
        <v>-0.15880261866846809</v>
      </c>
      <c r="V55" s="839"/>
      <c r="W55" s="839"/>
      <c r="X55" s="839"/>
      <c r="Y55" s="839"/>
      <c r="Z55" s="839"/>
      <c r="AA55" s="839"/>
    </row>
    <row r="56" spans="1:27" ht="18">
      <c r="A56" s="1350" t="s">
        <v>2064</v>
      </c>
      <c r="B56" s="1382" t="s">
        <v>2774</v>
      </c>
      <c r="C56" s="238" t="s">
        <v>2768</v>
      </c>
      <c r="D56" s="26"/>
      <c r="E56" s="27"/>
      <c r="F56" s="28"/>
      <c r="G56" s="28"/>
      <c r="H56" s="28">
        <v>3411</v>
      </c>
      <c r="I56" s="28">
        <v>3752</v>
      </c>
      <c r="J56" s="44">
        <f t="shared" si="19"/>
        <v>3411</v>
      </c>
      <c r="K56" s="121">
        <f t="shared" si="13"/>
        <v>3411</v>
      </c>
      <c r="L56" s="121">
        <f t="shared" si="20"/>
        <v>3922.6499999999996</v>
      </c>
      <c r="M56" s="121">
        <f t="shared" si="2"/>
        <v>3922.6499999999996</v>
      </c>
      <c r="N56" s="121">
        <f t="shared" si="3"/>
        <v>3922.6499999999996</v>
      </c>
      <c r="O56" s="121">
        <f t="shared" si="27"/>
        <v>3922.6499999999996</v>
      </c>
      <c r="P56" s="121">
        <f t="shared" si="28"/>
        <v>3797</v>
      </c>
      <c r="Q56" s="1317"/>
      <c r="R56" s="839">
        <v>3298.47</v>
      </c>
      <c r="S56" s="1012">
        <f t="shared" si="29"/>
        <v>498.5300000000002</v>
      </c>
      <c r="T56" s="1316">
        <f t="shared" si="26"/>
        <v>-0.15912202210240523</v>
      </c>
      <c r="V56" s="839"/>
      <c r="W56" s="839"/>
      <c r="X56" s="839"/>
      <c r="Y56" s="839"/>
      <c r="Z56" s="839"/>
      <c r="AA56" s="839"/>
    </row>
    <row r="57" spans="1:27" ht="18">
      <c r="A57" s="1350" t="s">
        <v>2065</v>
      </c>
      <c r="B57" s="1382" t="s">
        <v>2775</v>
      </c>
      <c r="C57" s="238" t="s">
        <v>2768</v>
      </c>
      <c r="D57" s="26"/>
      <c r="E57" s="27"/>
      <c r="F57" s="28"/>
      <c r="G57" s="28"/>
      <c r="H57" s="28">
        <v>2008</v>
      </c>
      <c r="I57" s="28">
        <v>2208</v>
      </c>
      <c r="J57" s="44">
        <f t="shared" si="19"/>
        <v>2008</v>
      </c>
      <c r="K57" s="121">
        <f t="shared" si="13"/>
        <v>2008</v>
      </c>
      <c r="L57" s="121">
        <f t="shared" si="20"/>
        <v>2309.1999999999998</v>
      </c>
      <c r="M57" s="121">
        <f t="shared" si="2"/>
        <v>2309.1999999999998</v>
      </c>
      <c r="N57" s="121">
        <f t="shared" si="3"/>
        <v>2309.1999999999998</v>
      </c>
      <c r="O57" s="121">
        <f t="shared" si="27"/>
        <v>2309.1999999999998</v>
      </c>
      <c r="P57" s="121">
        <f t="shared" si="28"/>
        <v>2184</v>
      </c>
      <c r="Q57" s="1317"/>
      <c r="R57" s="839">
        <v>1948.12</v>
      </c>
      <c r="S57" s="1012">
        <f t="shared" si="29"/>
        <v>235.88000000000011</v>
      </c>
      <c r="T57" s="1316">
        <f t="shared" si="26"/>
        <v>-0.1563658409838905</v>
      </c>
      <c r="V57" s="839"/>
      <c r="W57" s="839"/>
      <c r="X57" s="839"/>
      <c r="Y57" s="839"/>
      <c r="Z57" s="839"/>
      <c r="AA57" s="839"/>
    </row>
    <row r="58" spans="1:27" ht="18">
      <c r="A58" s="1350" t="s">
        <v>2066</v>
      </c>
      <c r="B58" s="1382" t="s">
        <v>2776</v>
      </c>
      <c r="C58" s="238" t="s">
        <v>2768</v>
      </c>
      <c r="D58" s="26"/>
      <c r="E58" s="27"/>
      <c r="F58" s="28"/>
      <c r="G58" s="28"/>
      <c r="H58" s="28">
        <v>2703</v>
      </c>
      <c r="I58" s="28">
        <v>2973</v>
      </c>
      <c r="J58" s="44">
        <f t="shared" si="19"/>
        <v>2703</v>
      </c>
      <c r="K58" s="121">
        <f t="shared" si="13"/>
        <v>2703</v>
      </c>
      <c r="L58" s="121">
        <f t="shared" si="20"/>
        <v>3108.45</v>
      </c>
      <c r="M58" s="121">
        <f t="shared" si="2"/>
        <v>3108.45</v>
      </c>
      <c r="N58" s="121">
        <f t="shared" si="3"/>
        <v>3108.45</v>
      </c>
      <c r="O58" s="121">
        <f t="shared" si="27"/>
        <v>3108.45</v>
      </c>
      <c r="P58" s="121">
        <f t="shared" si="28"/>
        <v>2983</v>
      </c>
      <c r="Q58" s="1317"/>
      <c r="R58" s="839">
        <v>2614.8200000000002</v>
      </c>
      <c r="S58" s="1012">
        <f t="shared" si="29"/>
        <v>368.17999999999984</v>
      </c>
      <c r="T58" s="1316">
        <f t="shared" si="26"/>
        <v>-0.15880261866846809</v>
      </c>
      <c r="V58" s="839"/>
      <c r="W58" s="839"/>
      <c r="X58" s="839"/>
      <c r="Y58" s="839"/>
      <c r="Z58" s="839"/>
      <c r="AA58" s="839"/>
    </row>
    <row r="59" spans="1:27" ht="18">
      <c r="A59" s="1350" t="s">
        <v>2067</v>
      </c>
      <c r="B59" s="1382" t="s">
        <v>2777</v>
      </c>
      <c r="C59" s="238" t="s">
        <v>2768</v>
      </c>
      <c r="D59" s="26"/>
      <c r="E59" s="27"/>
      <c r="F59" s="28"/>
      <c r="G59" s="28"/>
      <c r="H59" s="28">
        <v>3818</v>
      </c>
      <c r="I59" s="28">
        <v>4199</v>
      </c>
      <c r="J59" s="44">
        <f t="shared" si="19"/>
        <v>3818</v>
      </c>
      <c r="K59" s="121">
        <f t="shared" si="13"/>
        <v>3818</v>
      </c>
      <c r="L59" s="121">
        <f t="shared" si="20"/>
        <v>4390.7</v>
      </c>
      <c r="M59" s="121">
        <f t="shared" si="2"/>
        <v>4390.7</v>
      </c>
      <c r="N59" s="121">
        <f t="shared" si="3"/>
        <v>4390.7</v>
      </c>
      <c r="O59" s="121">
        <f t="shared" si="27"/>
        <v>4390.7</v>
      </c>
      <c r="P59" s="121">
        <f t="shared" si="28"/>
        <v>4265</v>
      </c>
      <c r="Q59" s="1317"/>
      <c r="R59" s="839">
        <v>3690.58</v>
      </c>
      <c r="S59" s="1012">
        <f t="shared" si="29"/>
        <v>574.42000000000007</v>
      </c>
      <c r="T59" s="1316">
        <f t="shared" si="26"/>
        <v>-0.15945521215295966</v>
      </c>
      <c r="V59" s="839"/>
      <c r="W59" s="839"/>
      <c r="X59" s="839"/>
      <c r="Y59" s="839"/>
      <c r="Z59" s="839"/>
      <c r="AA59" s="839"/>
    </row>
    <row r="60" spans="1:27" ht="18">
      <c r="A60" s="1350" t="s">
        <v>2068</v>
      </c>
      <c r="B60" s="1382" t="s">
        <v>2778</v>
      </c>
      <c r="C60" s="238" t="s">
        <v>2768</v>
      </c>
      <c r="D60" s="26"/>
      <c r="E60" s="27"/>
      <c r="F60" s="28"/>
      <c r="G60" s="28"/>
      <c r="H60" s="28">
        <v>4807</v>
      </c>
      <c r="I60" s="28">
        <v>5287</v>
      </c>
      <c r="J60" s="44">
        <f t="shared" si="19"/>
        <v>4807</v>
      </c>
      <c r="K60" s="121">
        <f t="shared" si="13"/>
        <v>4807</v>
      </c>
      <c r="L60" s="121">
        <f t="shared" si="20"/>
        <v>5528.0499999999993</v>
      </c>
      <c r="M60" s="121">
        <f t="shared" si="2"/>
        <v>5528.0499999999993</v>
      </c>
      <c r="N60" s="121">
        <f t="shared" si="3"/>
        <v>5528.0499999999993</v>
      </c>
      <c r="O60" s="121">
        <f t="shared" si="27"/>
        <v>5528.0499999999993</v>
      </c>
      <c r="P60" s="121">
        <f t="shared" si="28"/>
        <v>5403</v>
      </c>
      <c r="Q60" s="1317"/>
      <c r="R60" s="839">
        <v>4647.6899999999996</v>
      </c>
      <c r="S60" s="1012">
        <f t="shared" si="29"/>
        <v>755.3100000000004</v>
      </c>
      <c r="T60" s="1316">
        <f t="shared" si="26"/>
        <v>-0.15925326290464084</v>
      </c>
      <c r="V60" s="839"/>
      <c r="W60" s="839"/>
      <c r="X60" s="839"/>
      <c r="Y60" s="839"/>
      <c r="Z60" s="839"/>
      <c r="AA60" s="839"/>
    </row>
    <row r="61" spans="1:27" ht="18">
      <c r="A61" s="1350" t="s">
        <v>2069</v>
      </c>
      <c r="B61" s="1382" t="s">
        <v>2779</v>
      </c>
      <c r="C61" s="238" t="s">
        <v>2768</v>
      </c>
      <c r="D61" s="26"/>
      <c r="E61" s="27"/>
      <c r="F61" s="28"/>
      <c r="G61" s="28"/>
      <c r="H61" s="28">
        <v>4987</v>
      </c>
      <c r="I61" s="28">
        <v>5485</v>
      </c>
      <c r="J61" s="44">
        <f t="shared" si="19"/>
        <v>4987</v>
      </c>
      <c r="K61" s="121">
        <f t="shared" si="13"/>
        <v>4987</v>
      </c>
      <c r="L61" s="121">
        <f t="shared" si="20"/>
        <v>5735.0499999999993</v>
      </c>
      <c r="M61" s="121">
        <f t="shared" si="2"/>
        <v>5735.0499999999993</v>
      </c>
      <c r="N61" s="121">
        <f t="shared" si="3"/>
        <v>5735.0499999999993</v>
      </c>
      <c r="O61" s="121">
        <f t="shared" si="27"/>
        <v>5735.0499999999993</v>
      </c>
      <c r="P61" s="121">
        <f t="shared" si="28"/>
        <v>5610</v>
      </c>
      <c r="Q61" s="29"/>
      <c r="R61" s="839">
        <v>4698.54</v>
      </c>
      <c r="S61" s="1012">
        <f t="shared" si="29"/>
        <v>911.46</v>
      </c>
      <c r="T61" s="1316">
        <f t="shared" si="26"/>
        <v>-0.18073251323005021</v>
      </c>
      <c r="V61" s="839"/>
      <c r="W61" s="839"/>
      <c r="X61" s="839"/>
      <c r="Y61" s="839"/>
      <c r="Z61" s="839"/>
      <c r="AA61" s="839"/>
    </row>
    <row r="62" spans="1:27" ht="18">
      <c r="A62" s="1350" t="s">
        <v>2070</v>
      </c>
      <c r="B62" s="1382" t="s">
        <v>2780</v>
      </c>
      <c r="C62" s="238" t="s">
        <v>2768</v>
      </c>
      <c r="D62" s="26"/>
      <c r="E62" s="27"/>
      <c r="F62" s="28"/>
      <c r="G62" s="28"/>
      <c r="H62" s="28">
        <v>6276</v>
      </c>
      <c r="I62" s="28">
        <v>6903</v>
      </c>
      <c r="J62" s="44">
        <f t="shared" si="19"/>
        <v>6276</v>
      </c>
      <c r="K62" s="121">
        <f t="shared" si="13"/>
        <v>6276</v>
      </c>
      <c r="L62" s="121">
        <f t="shared" si="20"/>
        <v>7217.4</v>
      </c>
      <c r="M62" s="121">
        <f t="shared" si="2"/>
        <v>7217.4</v>
      </c>
      <c r="N62" s="121">
        <f t="shared" si="3"/>
        <v>7217.4</v>
      </c>
      <c r="O62" s="121">
        <f t="shared" si="27"/>
        <v>7217.4</v>
      </c>
      <c r="P62" s="121">
        <f t="shared" si="28"/>
        <v>7092</v>
      </c>
      <c r="Q62" s="68"/>
      <c r="R62" s="839"/>
      <c r="S62" s="1012">
        <f t="shared" si="29"/>
        <v>7092</v>
      </c>
      <c r="T62" s="1316"/>
      <c r="V62" s="839"/>
      <c r="W62" s="839"/>
      <c r="X62" s="839"/>
      <c r="Y62" s="839"/>
      <c r="Z62" s="839"/>
      <c r="AA62" s="839"/>
    </row>
    <row r="63" spans="1:27" ht="18">
      <c r="A63" s="1350" t="s">
        <v>2071</v>
      </c>
      <c r="B63" s="1382" t="s">
        <v>2781</v>
      </c>
      <c r="C63" s="238" t="s">
        <v>2768</v>
      </c>
      <c r="D63" s="26"/>
      <c r="E63" s="27"/>
      <c r="F63" s="28"/>
      <c r="G63" s="28"/>
      <c r="H63" s="28">
        <v>7781</v>
      </c>
      <c r="I63" s="28">
        <v>8559</v>
      </c>
      <c r="J63" s="44">
        <f t="shared" si="19"/>
        <v>7781</v>
      </c>
      <c r="K63" s="121">
        <f t="shared" si="13"/>
        <v>7781</v>
      </c>
      <c r="L63" s="121">
        <f t="shared" si="20"/>
        <v>8948.15</v>
      </c>
      <c r="M63" s="121">
        <f t="shared" si="2"/>
        <v>8948.15</v>
      </c>
      <c r="N63" s="121">
        <f t="shared" si="3"/>
        <v>8948.15</v>
      </c>
      <c r="O63" s="121">
        <f t="shared" si="27"/>
        <v>8948.15</v>
      </c>
      <c r="P63" s="121">
        <f t="shared" si="28"/>
        <v>8823</v>
      </c>
      <c r="Q63" s="29"/>
      <c r="R63" s="839"/>
      <c r="S63" s="1012">
        <f t="shared" si="29"/>
        <v>8823</v>
      </c>
      <c r="T63" s="1316"/>
      <c r="V63" s="839"/>
      <c r="W63" s="839"/>
      <c r="X63" s="839"/>
      <c r="Y63" s="839"/>
      <c r="Z63" s="839"/>
      <c r="AA63" s="839"/>
    </row>
    <row r="64" spans="1:27" ht="18">
      <c r="A64" s="1350" t="s">
        <v>2072</v>
      </c>
      <c r="B64" s="1382" t="s">
        <v>2782</v>
      </c>
      <c r="C64" s="238" t="s">
        <v>2768</v>
      </c>
      <c r="D64" s="26"/>
      <c r="E64" s="27"/>
      <c r="F64" s="28"/>
      <c r="G64" s="28"/>
      <c r="H64" s="28">
        <v>6526</v>
      </c>
      <c r="I64" s="28">
        <v>7178</v>
      </c>
      <c r="J64" s="44">
        <f t="shared" si="19"/>
        <v>6526</v>
      </c>
      <c r="K64" s="121">
        <f t="shared" si="13"/>
        <v>6526</v>
      </c>
      <c r="L64" s="121">
        <f t="shared" si="20"/>
        <v>7504.9</v>
      </c>
      <c r="M64" s="121">
        <f t="shared" si="2"/>
        <v>7504.9</v>
      </c>
      <c r="N64" s="121">
        <f t="shared" si="3"/>
        <v>7504.9</v>
      </c>
      <c r="O64" s="121">
        <f t="shared" si="27"/>
        <v>7504.9</v>
      </c>
      <c r="P64" s="121">
        <f t="shared" si="28"/>
        <v>7379</v>
      </c>
      <c r="Q64" s="29"/>
      <c r="R64" s="839">
        <v>6459.08</v>
      </c>
      <c r="S64" s="1012">
        <f t="shared" si="29"/>
        <v>919.92000000000007</v>
      </c>
      <c r="T64" s="1316">
        <f>(R64-O64)/O64</f>
        <v>-0.13935162360591077</v>
      </c>
      <c r="V64" s="839"/>
      <c r="W64" s="839"/>
      <c r="X64" s="839"/>
      <c r="Y64" s="839"/>
      <c r="Z64" s="839"/>
      <c r="AA64" s="839"/>
    </row>
    <row r="65" spans="1:27" ht="18">
      <c r="A65" s="1350" t="s">
        <v>2073</v>
      </c>
      <c r="B65" s="1382" t="s">
        <v>2783</v>
      </c>
      <c r="C65" s="238" t="s">
        <v>2768</v>
      </c>
      <c r="D65" s="26"/>
      <c r="E65" s="27"/>
      <c r="F65" s="28"/>
      <c r="G65" s="28"/>
      <c r="H65" s="28">
        <v>8534</v>
      </c>
      <c r="I65" s="28">
        <v>9387</v>
      </c>
      <c r="J65" s="44">
        <f t="shared" ref="J65:J92" si="30">H65</f>
        <v>8534</v>
      </c>
      <c r="K65" s="121">
        <f t="shared" si="13"/>
        <v>8534</v>
      </c>
      <c r="L65" s="121">
        <f t="shared" si="20"/>
        <v>9814.0999999999985</v>
      </c>
      <c r="M65" s="121">
        <f t="shared" si="2"/>
        <v>9814.0999999999985</v>
      </c>
      <c r="N65" s="121">
        <f t="shared" si="3"/>
        <v>9814.0999999999985</v>
      </c>
      <c r="O65" s="121">
        <f t="shared" si="27"/>
        <v>9814.0999999999985</v>
      </c>
      <c r="P65" s="121">
        <f t="shared" si="28"/>
        <v>9689</v>
      </c>
      <c r="Q65" s="29"/>
      <c r="R65" s="839"/>
      <c r="S65" s="1012">
        <f t="shared" si="29"/>
        <v>9689</v>
      </c>
      <c r="T65" s="1316"/>
      <c r="V65" s="839"/>
      <c r="W65" s="839"/>
      <c r="X65" s="839"/>
      <c r="Y65" s="839"/>
      <c r="Z65" s="839"/>
      <c r="AA65" s="839"/>
    </row>
    <row r="66" spans="1:27" ht="18">
      <c r="A66" s="1350" t="s">
        <v>2074</v>
      </c>
      <c r="B66" s="1382" t="s">
        <v>2784</v>
      </c>
      <c r="C66" s="238" t="s">
        <v>2768</v>
      </c>
      <c r="D66" s="26"/>
      <c r="E66" s="27"/>
      <c r="F66" s="28"/>
      <c r="G66" s="28"/>
      <c r="H66" s="28">
        <v>3765</v>
      </c>
      <c r="I66" s="28">
        <v>4141</v>
      </c>
      <c r="J66" s="44">
        <f t="shared" si="30"/>
        <v>3765</v>
      </c>
      <c r="K66" s="121">
        <f t="shared" si="13"/>
        <v>3765</v>
      </c>
      <c r="L66" s="121">
        <f t="shared" si="20"/>
        <v>4329.75</v>
      </c>
      <c r="M66" s="121">
        <f t="shared" si="2"/>
        <v>4329.75</v>
      </c>
      <c r="N66" s="121">
        <f t="shared" si="3"/>
        <v>4329.75</v>
      </c>
      <c r="O66" s="121">
        <f t="shared" si="27"/>
        <v>4329.75</v>
      </c>
      <c r="P66" s="121">
        <f t="shared" si="28"/>
        <v>4204</v>
      </c>
      <c r="Q66" s="29"/>
      <c r="R66" s="839">
        <v>3725.61</v>
      </c>
      <c r="S66" s="1012">
        <f t="shared" si="29"/>
        <v>478.38999999999987</v>
      </c>
      <c r="T66" s="1316">
        <f>(R66-O66)/O66</f>
        <v>-0.13953230556036719</v>
      </c>
      <c r="V66" s="839"/>
      <c r="W66" s="839"/>
      <c r="X66" s="839"/>
      <c r="Y66" s="839"/>
      <c r="Z66" s="839"/>
      <c r="AA66" s="839"/>
    </row>
    <row r="67" spans="1:27" ht="18">
      <c r="A67" s="1350" t="s">
        <v>2075</v>
      </c>
      <c r="B67" s="1382" t="s">
        <v>2785</v>
      </c>
      <c r="C67" s="238" t="s">
        <v>2768</v>
      </c>
      <c r="D67" s="26"/>
      <c r="E67" s="27"/>
      <c r="F67" s="28"/>
      <c r="G67" s="28"/>
      <c r="H67" s="28">
        <v>4957</v>
      </c>
      <c r="I67" s="28">
        <v>5452</v>
      </c>
      <c r="J67" s="44">
        <f t="shared" si="30"/>
        <v>4957</v>
      </c>
      <c r="K67" s="121">
        <f t="shared" si="13"/>
        <v>4957</v>
      </c>
      <c r="L67" s="121">
        <f t="shared" si="20"/>
        <v>5700.5499999999993</v>
      </c>
      <c r="M67" s="121">
        <f t="shared" si="2"/>
        <v>5700.5499999999993</v>
      </c>
      <c r="N67" s="121">
        <f t="shared" si="3"/>
        <v>5700.5499999999993</v>
      </c>
      <c r="O67" s="121">
        <f t="shared" si="27"/>
        <v>5700.5499999999993</v>
      </c>
      <c r="P67" s="121">
        <f t="shared" si="28"/>
        <v>5575</v>
      </c>
      <c r="Q67" s="29"/>
      <c r="R67" s="839">
        <v>4698.54</v>
      </c>
      <c r="S67" s="1012">
        <f t="shared" si="29"/>
        <v>876.46</v>
      </c>
      <c r="T67" s="1316">
        <f>(R67-O67)/O67</f>
        <v>-0.17577426739525123</v>
      </c>
      <c r="V67" s="839"/>
      <c r="W67" s="839"/>
      <c r="X67" s="839"/>
      <c r="Y67" s="839"/>
      <c r="Z67" s="839"/>
      <c r="AA67" s="839"/>
    </row>
    <row r="68" spans="1:27" ht="18">
      <c r="A68" s="1350" t="s">
        <v>2076</v>
      </c>
      <c r="B68" s="1382" t="s">
        <v>2786</v>
      </c>
      <c r="C68" s="238" t="s">
        <v>2768</v>
      </c>
      <c r="D68" s="26"/>
      <c r="E68" s="27"/>
      <c r="F68" s="28"/>
      <c r="G68" s="28"/>
      <c r="H68" s="28">
        <v>6150</v>
      </c>
      <c r="I68" s="28">
        <v>6765</v>
      </c>
      <c r="J68" s="44">
        <f t="shared" si="30"/>
        <v>6150</v>
      </c>
      <c r="K68" s="121">
        <f t="shared" si="13"/>
        <v>6150</v>
      </c>
      <c r="L68" s="121">
        <f t="shared" si="20"/>
        <v>7072.4999999999991</v>
      </c>
      <c r="M68" s="121">
        <f t="shared" si="2"/>
        <v>7072.4999999999991</v>
      </c>
      <c r="N68" s="121">
        <f t="shared" si="3"/>
        <v>7072.4999999999991</v>
      </c>
      <c r="O68" s="121">
        <f t="shared" si="27"/>
        <v>7072.4999999999991</v>
      </c>
      <c r="P68" s="121">
        <f t="shared" si="28"/>
        <v>6947</v>
      </c>
      <c r="Q68" s="29"/>
      <c r="R68" s="839"/>
      <c r="S68" s="1012">
        <f t="shared" si="29"/>
        <v>6947</v>
      </c>
      <c r="T68" s="1316"/>
      <c r="V68" s="839"/>
      <c r="W68" s="839"/>
      <c r="X68" s="839"/>
      <c r="Y68" s="839"/>
      <c r="Z68" s="839"/>
      <c r="AA68" s="839"/>
    </row>
    <row r="69" spans="1:27" ht="18">
      <c r="A69" s="1350" t="s">
        <v>2077</v>
      </c>
      <c r="B69" s="1382" t="s">
        <v>2787</v>
      </c>
      <c r="C69" s="238" t="s">
        <v>2768</v>
      </c>
      <c r="D69" s="26"/>
      <c r="E69" s="27"/>
      <c r="F69" s="28"/>
      <c r="G69" s="28"/>
      <c r="H69" s="28">
        <v>5271</v>
      </c>
      <c r="I69" s="28">
        <v>5798</v>
      </c>
      <c r="J69" s="44">
        <f t="shared" si="30"/>
        <v>5271</v>
      </c>
      <c r="K69" s="121">
        <f t="shared" si="13"/>
        <v>5271</v>
      </c>
      <c r="L69" s="121">
        <f t="shared" si="20"/>
        <v>6061.65</v>
      </c>
      <c r="M69" s="121">
        <f t="shared" ref="M69:M140" si="31">L69</f>
        <v>6061.65</v>
      </c>
      <c r="N69" s="121">
        <f t="shared" ref="N69:N99" si="32">M69</f>
        <v>6061.65</v>
      </c>
      <c r="O69" s="121">
        <f t="shared" si="27"/>
        <v>6061.65</v>
      </c>
      <c r="P69" s="121">
        <f t="shared" si="28"/>
        <v>5936</v>
      </c>
      <c r="Q69" s="29"/>
      <c r="R69" s="839">
        <v>5228.51</v>
      </c>
      <c r="S69" s="1012">
        <f t="shared" si="29"/>
        <v>707.48999999999978</v>
      </c>
      <c r="T69" s="1316">
        <f>(R69-O69)/O69</f>
        <v>-0.1374444251977596</v>
      </c>
      <c r="V69" s="839"/>
      <c r="W69" s="839"/>
      <c r="X69" s="839"/>
      <c r="Y69" s="839"/>
      <c r="Z69" s="839"/>
      <c r="AA69" s="839"/>
    </row>
    <row r="70" spans="1:27" ht="18">
      <c r="A70" s="1350" t="s">
        <v>2078</v>
      </c>
      <c r="B70" s="1382" t="s">
        <v>2788</v>
      </c>
      <c r="C70" s="238" t="s">
        <v>2768</v>
      </c>
      <c r="D70" s="26"/>
      <c r="E70" s="27"/>
      <c r="F70" s="28"/>
      <c r="G70" s="28"/>
      <c r="H70" s="28">
        <v>6903</v>
      </c>
      <c r="I70" s="28">
        <v>7593</v>
      </c>
      <c r="J70" s="44">
        <f t="shared" si="30"/>
        <v>6903</v>
      </c>
      <c r="K70" s="121">
        <f t="shared" si="13"/>
        <v>6903</v>
      </c>
      <c r="L70" s="121">
        <f t="shared" si="20"/>
        <v>7938.45</v>
      </c>
      <c r="M70" s="121">
        <f t="shared" si="31"/>
        <v>7938.45</v>
      </c>
      <c r="N70" s="121">
        <f t="shared" si="32"/>
        <v>7938.45</v>
      </c>
      <c r="O70" s="121">
        <f t="shared" si="27"/>
        <v>7938.45</v>
      </c>
      <c r="P70" s="121">
        <f t="shared" si="28"/>
        <v>7813</v>
      </c>
      <c r="Q70" s="29"/>
      <c r="R70" s="839">
        <v>6578.86</v>
      </c>
      <c r="S70" s="1012">
        <f t="shared" si="29"/>
        <v>1234.1400000000003</v>
      </c>
      <c r="T70" s="1316">
        <f>(R70-O70)/O70</f>
        <v>-0.17126643110430881</v>
      </c>
      <c r="V70" s="839"/>
      <c r="W70" s="839"/>
      <c r="X70" s="839"/>
      <c r="Y70" s="839"/>
      <c r="Z70" s="839"/>
      <c r="AA70" s="839"/>
    </row>
    <row r="71" spans="1:27" ht="18">
      <c r="A71" s="1350" t="s">
        <v>2079</v>
      </c>
      <c r="B71" s="1382" t="s">
        <v>2789</v>
      </c>
      <c r="C71" s="238" t="s">
        <v>2768</v>
      </c>
      <c r="D71" s="26"/>
      <c r="E71" s="27"/>
      <c r="F71" s="28"/>
      <c r="G71" s="28"/>
      <c r="H71" s="28">
        <v>8534</v>
      </c>
      <c r="I71" s="28">
        <v>9387</v>
      </c>
      <c r="J71" s="44">
        <f t="shared" si="30"/>
        <v>8534</v>
      </c>
      <c r="K71" s="121">
        <f t="shared" si="13"/>
        <v>8534</v>
      </c>
      <c r="L71" s="121">
        <f t="shared" si="20"/>
        <v>9814.0999999999985</v>
      </c>
      <c r="M71" s="121">
        <f t="shared" si="31"/>
        <v>9814.0999999999985</v>
      </c>
      <c r="N71" s="121">
        <f t="shared" si="32"/>
        <v>9814.0999999999985</v>
      </c>
      <c r="O71" s="121">
        <f t="shared" si="27"/>
        <v>9814.0999999999985</v>
      </c>
      <c r="P71" s="121">
        <f t="shared" si="28"/>
        <v>9689</v>
      </c>
      <c r="Q71" s="29"/>
      <c r="R71" s="839"/>
      <c r="S71" s="1012">
        <f t="shared" si="29"/>
        <v>9689</v>
      </c>
      <c r="T71" s="1316"/>
      <c r="V71" s="839"/>
      <c r="W71" s="839"/>
      <c r="X71" s="839"/>
      <c r="Y71" s="839"/>
      <c r="Z71" s="839"/>
      <c r="AA71" s="839"/>
    </row>
    <row r="72" spans="1:27" ht="136.5">
      <c r="A72" s="1349">
        <v>8.3000000000000007</v>
      </c>
      <c r="B72" s="1384" t="s">
        <v>2791</v>
      </c>
      <c r="C72" s="1343"/>
      <c r="D72" s="378"/>
      <c r="E72" s="377"/>
      <c r="F72" s="442"/>
      <c r="G72" s="442"/>
      <c r="H72" s="442"/>
      <c r="I72" s="442"/>
      <c r="J72" s="442"/>
      <c r="K72" s="443"/>
      <c r="L72" s="443"/>
      <c r="M72" s="443"/>
      <c r="N72" s="443"/>
      <c r="O72" s="443"/>
      <c r="P72" s="443"/>
      <c r="Q72" s="444"/>
      <c r="R72" s="839" t="s">
        <v>2638</v>
      </c>
      <c r="S72" s="839"/>
      <c r="T72" s="1318"/>
      <c r="U72" s="1012"/>
      <c r="V72" s="839"/>
      <c r="W72" s="839"/>
      <c r="X72" s="839"/>
      <c r="Y72" s="839"/>
      <c r="Z72" s="839"/>
      <c r="AA72" s="839"/>
    </row>
    <row r="73" spans="1:27" ht="18">
      <c r="A73" s="1350" t="s">
        <v>2080</v>
      </c>
      <c r="B73" s="1382" t="s">
        <v>2771</v>
      </c>
      <c r="C73" s="238" t="s">
        <v>2768</v>
      </c>
      <c r="D73" s="26"/>
      <c r="E73" s="27"/>
      <c r="F73" s="28"/>
      <c r="G73" s="28"/>
      <c r="H73" s="28">
        <v>1662</v>
      </c>
      <c r="I73" s="28">
        <v>1828</v>
      </c>
      <c r="J73" s="44">
        <f t="shared" si="30"/>
        <v>1662</v>
      </c>
      <c r="K73" s="121">
        <f t="shared" si="13"/>
        <v>1662</v>
      </c>
      <c r="L73" s="121">
        <f t="shared" si="20"/>
        <v>1911.3</v>
      </c>
      <c r="M73" s="121">
        <f t="shared" si="31"/>
        <v>1911.3</v>
      </c>
      <c r="N73" s="121">
        <f t="shared" si="32"/>
        <v>1911.3</v>
      </c>
      <c r="O73" s="121">
        <f>N73</f>
        <v>1911.3</v>
      </c>
      <c r="P73" s="121">
        <f>TRUNC(103%*O73,0)</f>
        <v>1968</v>
      </c>
      <c r="Q73" s="1566"/>
      <c r="R73" s="839">
        <v>1976.37</v>
      </c>
      <c r="S73" s="839"/>
      <c r="T73" s="1318">
        <f t="shared" ref="T73:T91" si="33">R73+$W$53</f>
        <v>1976.37</v>
      </c>
      <c r="U73" s="1316">
        <f>(R73-O73)/O73</f>
        <v>3.4044890911944715E-2</v>
      </c>
      <c r="V73" s="839"/>
      <c r="W73" s="839"/>
      <c r="X73" s="839"/>
      <c r="Y73" s="839"/>
      <c r="Z73" s="839"/>
      <c r="AA73" s="839"/>
    </row>
    <row r="74" spans="1:27" ht="18">
      <c r="A74" s="1350" t="s">
        <v>2081</v>
      </c>
      <c r="B74" s="1382" t="s">
        <v>2772</v>
      </c>
      <c r="C74" s="238" t="s">
        <v>2768</v>
      </c>
      <c r="D74" s="26"/>
      <c r="E74" s="27"/>
      <c r="F74" s="28"/>
      <c r="G74" s="28"/>
      <c r="H74" s="28">
        <v>2266</v>
      </c>
      <c r="I74" s="28">
        <v>2492</v>
      </c>
      <c r="J74" s="44">
        <f t="shared" si="30"/>
        <v>2266</v>
      </c>
      <c r="K74" s="121">
        <f t="shared" si="13"/>
        <v>2266</v>
      </c>
      <c r="L74" s="121">
        <f t="shared" si="20"/>
        <v>2605.8999999999996</v>
      </c>
      <c r="M74" s="121">
        <f t="shared" si="31"/>
        <v>2605.8999999999996</v>
      </c>
      <c r="N74" s="121">
        <f t="shared" si="32"/>
        <v>2605.8999999999996</v>
      </c>
      <c r="O74" s="121">
        <f t="shared" ref="O74:O91" si="34">N74</f>
        <v>2605.8999999999996</v>
      </c>
      <c r="P74" s="121">
        <f t="shared" ref="P74:P91" si="35">TRUNC(103%*O74,0)</f>
        <v>2684</v>
      </c>
      <c r="Q74" s="1566"/>
      <c r="R74" s="839">
        <v>2695.05</v>
      </c>
      <c r="S74" s="839"/>
      <c r="T74" s="1318">
        <f t="shared" si="33"/>
        <v>2695.05</v>
      </c>
      <c r="U74" s="1316">
        <f t="shared" ref="U74:U91" si="36">(R74-O74)/O74</f>
        <v>3.4210829272036745E-2</v>
      </c>
      <c r="V74" s="839"/>
      <c r="W74" s="839"/>
      <c r="X74" s="839"/>
      <c r="Y74" s="839"/>
      <c r="Z74" s="839"/>
      <c r="AA74" s="839"/>
    </row>
    <row r="75" spans="1:27" ht="18">
      <c r="A75" s="1350" t="s">
        <v>2082</v>
      </c>
      <c r="B75" s="1382" t="s">
        <v>2773</v>
      </c>
      <c r="C75" s="238" t="s">
        <v>2768</v>
      </c>
      <c r="D75" s="26"/>
      <c r="E75" s="27"/>
      <c r="F75" s="28"/>
      <c r="G75" s="28"/>
      <c r="H75" s="28">
        <v>3323</v>
      </c>
      <c r="I75" s="28">
        <v>3655</v>
      </c>
      <c r="J75" s="44">
        <f t="shared" si="30"/>
        <v>3323</v>
      </c>
      <c r="K75" s="121">
        <f t="shared" si="13"/>
        <v>3323</v>
      </c>
      <c r="L75" s="121">
        <f t="shared" si="20"/>
        <v>3821.45</v>
      </c>
      <c r="M75" s="121">
        <f t="shared" si="31"/>
        <v>3821.45</v>
      </c>
      <c r="N75" s="121">
        <f t="shared" si="32"/>
        <v>3821.45</v>
      </c>
      <c r="O75" s="121">
        <f t="shared" si="34"/>
        <v>3821.45</v>
      </c>
      <c r="P75" s="121">
        <f t="shared" si="35"/>
        <v>3936</v>
      </c>
      <c r="Q75" s="1566"/>
      <c r="R75" s="839">
        <v>3952.74</v>
      </c>
      <c r="S75" s="839"/>
      <c r="T75" s="1318">
        <f t="shared" si="33"/>
        <v>3952.74</v>
      </c>
      <c r="U75" s="1316">
        <f t="shared" si="36"/>
        <v>3.4356069031388603E-2</v>
      </c>
      <c r="V75" s="839"/>
      <c r="W75" s="839"/>
      <c r="X75" s="839"/>
      <c r="Y75" s="839"/>
      <c r="Z75" s="839"/>
      <c r="AA75" s="839"/>
    </row>
    <row r="76" spans="1:27" ht="18">
      <c r="A76" s="1350" t="s">
        <v>2083</v>
      </c>
      <c r="B76" s="1382" t="s">
        <v>2774</v>
      </c>
      <c r="C76" s="238" t="s">
        <v>2768</v>
      </c>
      <c r="D76" s="26"/>
      <c r="E76" s="27"/>
      <c r="F76" s="28"/>
      <c r="G76" s="28"/>
      <c r="H76" s="28">
        <v>4380</v>
      </c>
      <c r="I76" s="28">
        <v>4818</v>
      </c>
      <c r="J76" s="44">
        <f t="shared" si="30"/>
        <v>4380</v>
      </c>
      <c r="K76" s="121">
        <f t="shared" si="13"/>
        <v>4380</v>
      </c>
      <c r="L76" s="121">
        <f t="shared" si="20"/>
        <v>5037</v>
      </c>
      <c r="M76" s="121">
        <f t="shared" si="31"/>
        <v>5037</v>
      </c>
      <c r="N76" s="121">
        <f t="shared" si="32"/>
        <v>5037</v>
      </c>
      <c r="O76" s="121">
        <f t="shared" si="34"/>
        <v>5037</v>
      </c>
      <c r="P76" s="121">
        <f t="shared" si="35"/>
        <v>5188</v>
      </c>
      <c r="Q76" s="1566"/>
      <c r="R76" s="839">
        <v>5210.43</v>
      </c>
      <c r="S76" s="839"/>
      <c r="T76" s="1318">
        <f t="shared" si="33"/>
        <v>5210.43</v>
      </c>
      <c r="U76" s="1316">
        <f t="shared" si="36"/>
        <v>3.4431209053007804E-2</v>
      </c>
      <c r="V76" s="839"/>
      <c r="W76" s="839"/>
      <c r="X76" s="839"/>
      <c r="Y76" s="839"/>
      <c r="Z76" s="839"/>
      <c r="AA76" s="839"/>
    </row>
    <row r="77" spans="1:27" ht="18">
      <c r="A77" s="1350" t="s">
        <v>2084</v>
      </c>
      <c r="B77" s="1382" t="s">
        <v>2775</v>
      </c>
      <c r="C77" s="238" t="s">
        <v>2768</v>
      </c>
      <c r="D77" s="26"/>
      <c r="E77" s="27"/>
      <c r="F77" s="28"/>
      <c r="G77" s="28"/>
      <c r="H77" s="28">
        <v>2417</v>
      </c>
      <c r="I77" s="28">
        <v>2658</v>
      </c>
      <c r="J77" s="44">
        <f t="shared" si="30"/>
        <v>2417</v>
      </c>
      <c r="K77" s="121">
        <f t="shared" si="13"/>
        <v>2417</v>
      </c>
      <c r="L77" s="121">
        <f t="shared" si="20"/>
        <v>2779.5499999999997</v>
      </c>
      <c r="M77" s="121">
        <f t="shared" si="31"/>
        <v>2779.5499999999997</v>
      </c>
      <c r="N77" s="121">
        <f t="shared" si="32"/>
        <v>2779.5499999999997</v>
      </c>
      <c r="O77" s="121">
        <f t="shared" si="34"/>
        <v>2779.5499999999997</v>
      </c>
      <c r="P77" s="121">
        <f t="shared" si="35"/>
        <v>2862</v>
      </c>
      <c r="Q77" s="1566"/>
      <c r="R77" s="839">
        <v>2874.72</v>
      </c>
      <c r="S77" s="839"/>
      <c r="T77" s="1318">
        <f t="shared" si="33"/>
        <v>2874.72</v>
      </c>
      <c r="U77" s="1316">
        <f t="shared" si="36"/>
        <v>3.4239355291324165E-2</v>
      </c>
      <c r="V77" s="839"/>
      <c r="W77" s="839"/>
      <c r="X77" s="839"/>
      <c r="Y77" s="839"/>
      <c r="Z77" s="839"/>
      <c r="AA77" s="839"/>
    </row>
    <row r="78" spans="1:27" ht="18">
      <c r="A78" s="1350" t="s">
        <v>2085</v>
      </c>
      <c r="B78" s="1382" t="s">
        <v>2776</v>
      </c>
      <c r="C78" s="238" t="s">
        <v>2768</v>
      </c>
      <c r="D78" s="26"/>
      <c r="E78" s="27"/>
      <c r="F78" s="28"/>
      <c r="G78" s="28"/>
      <c r="H78" s="28">
        <v>3323</v>
      </c>
      <c r="I78" s="28">
        <v>3655</v>
      </c>
      <c r="J78" s="44">
        <f t="shared" si="30"/>
        <v>3323</v>
      </c>
      <c r="K78" s="121">
        <f t="shared" si="13"/>
        <v>3323</v>
      </c>
      <c r="L78" s="121">
        <f t="shared" si="20"/>
        <v>3821.45</v>
      </c>
      <c r="M78" s="121">
        <f t="shared" si="31"/>
        <v>3821.45</v>
      </c>
      <c r="N78" s="121">
        <f t="shared" si="32"/>
        <v>3821.45</v>
      </c>
      <c r="O78" s="121">
        <f t="shared" si="34"/>
        <v>3821.45</v>
      </c>
      <c r="P78" s="121">
        <f t="shared" si="35"/>
        <v>3936</v>
      </c>
      <c r="Q78" s="1566"/>
      <c r="R78" s="839">
        <v>3952.74</v>
      </c>
      <c r="S78" s="839"/>
      <c r="T78" s="1318">
        <f t="shared" si="33"/>
        <v>3952.74</v>
      </c>
      <c r="U78" s="1316">
        <f t="shared" si="36"/>
        <v>3.4356069031388603E-2</v>
      </c>
      <c r="V78" s="839"/>
      <c r="W78" s="839"/>
      <c r="X78" s="839"/>
      <c r="Y78" s="839"/>
      <c r="Z78" s="839"/>
      <c r="AA78" s="839"/>
    </row>
    <row r="79" spans="1:27" ht="18">
      <c r="A79" s="1350" t="s">
        <v>2086</v>
      </c>
      <c r="B79" s="1382" t="s">
        <v>2777</v>
      </c>
      <c r="C79" s="238" t="s">
        <v>2768</v>
      </c>
      <c r="D79" s="26"/>
      <c r="E79" s="27"/>
      <c r="F79" s="28"/>
      <c r="G79" s="28"/>
      <c r="H79" s="28">
        <v>4834</v>
      </c>
      <c r="I79" s="28">
        <v>5317</v>
      </c>
      <c r="J79" s="44">
        <f t="shared" si="30"/>
        <v>4834</v>
      </c>
      <c r="K79" s="121">
        <f t="shared" si="13"/>
        <v>4834</v>
      </c>
      <c r="L79" s="121">
        <f t="shared" si="20"/>
        <v>5559.0999999999995</v>
      </c>
      <c r="M79" s="121">
        <f t="shared" si="31"/>
        <v>5559.0999999999995</v>
      </c>
      <c r="N79" s="121">
        <f t="shared" si="32"/>
        <v>5559.0999999999995</v>
      </c>
      <c r="O79" s="121">
        <f t="shared" si="34"/>
        <v>5559.0999999999995</v>
      </c>
      <c r="P79" s="121">
        <f t="shared" si="35"/>
        <v>5725</v>
      </c>
      <c r="Q79" s="1566"/>
      <c r="R79" s="839">
        <v>5749.44</v>
      </c>
      <c r="S79" s="839"/>
      <c r="T79" s="1318">
        <f t="shared" si="33"/>
        <v>5749.44</v>
      </c>
      <c r="U79" s="1316">
        <f t="shared" si="36"/>
        <v>3.4239355291324165E-2</v>
      </c>
      <c r="V79" s="839"/>
      <c r="W79" s="839"/>
      <c r="X79" s="839"/>
      <c r="Y79" s="839"/>
      <c r="Z79" s="839"/>
      <c r="AA79" s="839"/>
    </row>
    <row r="80" spans="1:27" ht="18">
      <c r="A80" s="1350" t="s">
        <v>2087</v>
      </c>
      <c r="B80" s="1382" t="s">
        <v>2778</v>
      </c>
      <c r="C80" s="238" t="s">
        <v>2768</v>
      </c>
      <c r="D80" s="26"/>
      <c r="E80" s="27"/>
      <c r="F80" s="28"/>
      <c r="G80" s="28"/>
      <c r="H80" s="28">
        <v>6344</v>
      </c>
      <c r="I80" s="28">
        <v>6978</v>
      </c>
      <c r="J80" s="44">
        <f t="shared" si="30"/>
        <v>6344</v>
      </c>
      <c r="K80" s="121">
        <f t="shared" si="13"/>
        <v>6344</v>
      </c>
      <c r="L80" s="121">
        <f t="shared" si="20"/>
        <v>7295.5999999999995</v>
      </c>
      <c r="M80" s="121">
        <f t="shared" si="31"/>
        <v>7295.5999999999995</v>
      </c>
      <c r="N80" s="121">
        <f t="shared" si="32"/>
        <v>7295.5999999999995</v>
      </c>
      <c r="O80" s="121">
        <f t="shared" si="34"/>
        <v>7295.5999999999995</v>
      </c>
      <c r="P80" s="121">
        <f t="shared" si="35"/>
        <v>7514</v>
      </c>
      <c r="Q80" s="1566"/>
      <c r="R80" s="839">
        <v>7546.14</v>
      </c>
      <c r="S80" s="839"/>
      <c r="T80" s="1318">
        <f t="shared" si="33"/>
        <v>7546.14</v>
      </c>
      <c r="U80" s="1316">
        <f t="shared" si="36"/>
        <v>3.4341246778880542E-2</v>
      </c>
      <c r="V80" s="839"/>
      <c r="W80" s="839"/>
      <c r="X80" s="839"/>
      <c r="Y80" s="839"/>
      <c r="Z80" s="839"/>
      <c r="AA80" s="839"/>
    </row>
    <row r="81" spans="1:27" ht="18">
      <c r="A81" s="1350" t="s">
        <v>2088</v>
      </c>
      <c r="B81" s="1382" t="s">
        <v>2779</v>
      </c>
      <c r="C81" s="238" t="s">
        <v>2768</v>
      </c>
      <c r="D81" s="26"/>
      <c r="E81" s="27"/>
      <c r="F81" s="28"/>
      <c r="G81" s="28"/>
      <c r="H81" s="28">
        <v>5740</v>
      </c>
      <c r="I81" s="28">
        <v>6314</v>
      </c>
      <c r="J81" s="44">
        <f t="shared" si="30"/>
        <v>5740</v>
      </c>
      <c r="K81" s="121">
        <f t="shared" si="13"/>
        <v>5740</v>
      </c>
      <c r="L81" s="121">
        <f t="shared" si="20"/>
        <v>6600.9999999999991</v>
      </c>
      <c r="M81" s="121">
        <f t="shared" si="31"/>
        <v>6600.9999999999991</v>
      </c>
      <c r="N81" s="121">
        <f t="shared" si="32"/>
        <v>6600.9999999999991</v>
      </c>
      <c r="O81" s="121">
        <f t="shared" si="34"/>
        <v>6600.9999999999991</v>
      </c>
      <c r="P81" s="121">
        <f t="shared" si="35"/>
        <v>6799</v>
      </c>
      <c r="Q81" s="1566"/>
      <c r="R81" s="839">
        <v>6827.46</v>
      </c>
      <c r="S81" s="839"/>
      <c r="T81" s="1318">
        <f t="shared" si="33"/>
        <v>6827.46</v>
      </c>
      <c r="U81" s="1316">
        <f t="shared" si="36"/>
        <v>3.4306923193455685E-2</v>
      </c>
      <c r="V81" s="839"/>
      <c r="W81" s="839"/>
      <c r="X81" s="839"/>
      <c r="Y81" s="839"/>
      <c r="Z81" s="839"/>
      <c r="AA81" s="839"/>
    </row>
    <row r="82" spans="1:27" ht="18">
      <c r="A82" s="1350" t="s">
        <v>2089</v>
      </c>
      <c r="B82" s="1382" t="s">
        <v>2780</v>
      </c>
      <c r="C82" s="238" t="s">
        <v>2768</v>
      </c>
      <c r="D82" s="26"/>
      <c r="E82" s="27"/>
      <c r="F82" s="28"/>
      <c r="G82" s="28"/>
      <c r="H82" s="28">
        <v>7553</v>
      </c>
      <c r="I82" s="28">
        <v>8308</v>
      </c>
      <c r="J82" s="44">
        <f t="shared" si="30"/>
        <v>7553</v>
      </c>
      <c r="K82" s="121">
        <f t="shared" si="13"/>
        <v>7553</v>
      </c>
      <c r="L82" s="121">
        <f t="shared" si="20"/>
        <v>8685.9499999999989</v>
      </c>
      <c r="M82" s="121">
        <f t="shared" si="31"/>
        <v>8685.9499999999989</v>
      </c>
      <c r="N82" s="121">
        <f t="shared" si="32"/>
        <v>8685.9499999999989</v>
      </c>
      <c r="O82" s="121">
        <f t="shared" si="34"/>
        <v>8685.9499999999989</v>
      </c>
      <c r="P82" s="121">
        <f t="shared" si="35"/>
        <v>8946</v>
      </c>
      <c r="Q82" s="1566"/>
      <c r="R82" s="839"/>
      <c r="S82" s="839"/>
      <c r="T82" s="1318">
        <f t="shared" si="33"/>
        <v>0</v>
      </c>
      <c r="U82" s="1316">
        <f t="shared" si="36"/>
        <v>-1</v>
      </c>
      <c r="V82" s="839"/>
      <c r="W82" s="839"/>
      <c r="X82" s="839"/>
      <c r="Y82" s="839"/>
      <c r="Z82" s="839"/>
      <c r="AA82" s="839"/>
    </row>
    <row r="83" spans="1:27" ht="18">
      <c r="A83" s="1350" t="s">
        <v>2090</v>
      </c>
      <c r="B83" s="1382" t="s">
        <v>2781</v>
      </c>
      <c r="C83" s="238" t="s">
        <v>2768</v>
      </c>
      <c r="D83" s="26"/>
      <c r="E83" s="27"/>
      <c r="F83" s="28"/>
      <c r="G83" s="28"/>
      <c r="H83" s="28">
        <v>9365</v>
      </c>
      <c r="I83" s="28">
        <v>10302</v>
      </c>
      <c r="J83" s="44">
        <f t="shared" si="30"/>
        <v>9365</v>
      </c>
      <c r="K83" s="121">
        <f t="shared" si="13"/>
        <v>9365</v>
      </c>
      <c r="L83" s="121">
        <f t="shared" si="20"/>
        <v>10769.75</v>
      </c>
      <c r="M83" s="121">
        <f t="shared" si="31"/>
        <v>10769.75</v>
      </c>
      <c r="N83" s="121">
        <f t="shared" si="32"/>
        <v>10769.75</v>
      </c>
      <c r="O83" s="121">
        <f t="shared" si="34"/>
        <v>10769.75</v>
      </c>
      <c r="P83" s="121">
        <f t="shared" si="35"/>
        <v>11092</v>
      </c>
      <c r="Q83" s="1566"/>
      <c r="R83" s="839"/>
      <c r="S83" s="839"/>
      <c r="T83" s="1318">
        <f t="shared" si="33"/>
        <v>0</v>
      </c>
      <c r="U83" s="1316">
        <f t="shared" si="36"/>
        <v>-1</v>
      </c>
      <c r="V83" s="839"/>
      <c r="W83" s="839"/>
      <c r="X83" s="839"/>
      <c r="Y83" s="839"/>
      <c r="Z83" s="839"/>
      <c r="AA83" s="839"/>
    </row>
    <row r="84" spans="1:27" ht="18">
      <c r="A84" s="1350" t="s">
        <v>2091</v>
      </c>
      <c r="B84" s="1382" t="s">
        <v>2782</v>
      </c>
      <c r="C84" s="238" t="s">
        <v>2768</v>
      </c>
      <c r="D84" s="26"/>
      <c r="E84" s="27"/>
      <c r="F84" s="28"/>
      <c r="G84" s="28"/>
      <c r="H84" s="28">
        <v>7855</v>
      </c>
      <c r="I84" s="28">
        <v>8640</v>
      </c>
      <c r="J84" s="44">
        <f t="shared" si="30"/>
        <v>7855</v>
      </c>
      <c r="K84" s="121">
        <f t="shared" si="13"/>
        <v>7855</v>
      </c>
      <c r="L84" s="121">
        <f t="shared" si="20"/>
        <v>9033.25</v>
      </c>
      <c r="M84" s="121">
        <f t="shared" si="31"/>
        <v>9033.25</v>
      </c>
      <c r="N84" s="121">
        <f t="shared" si="32"/>
        <v>9033.25</v>
      </c>
      <c r="O84" s="121">
        <f t="shared" si="34"/>
        <v>9033.25</v>
      </c>
      <c r="P84" s="121">
        <f t="shared" si="35"/>
        <v>9304</v>
      </c>
      <c r="Q84" s="1566"/>
      <c r="R84" s="839">
        <v>9342.84</v>
      </c>
      <c r="S84" s="839"/>
      <c r="T84" s="1318">
        <f t="shared" si="33"/>
        <v>9342.84</v>
      </c>
      <c r="U84" s="1316">
        <f t="shared" si="36"/>
        <v>3.4272271884426997E-2</v>
      </c>
      <c r="V84" s="839"/>
      <c r="W84" s="839"/>
      <c r="X84" s="839"/>
      <c r="Y84" s="839"/>
      <c r="Z84" s="839"/>
      <c r="AA84" s="839"/>
    </row>
    <row r="85" spans="1:27" ht="18">
      <c r="A85" s="1350" t="s">
        <v>2092</v>
      </c>
      <c r="B85" s="1382" t="s">
        <v>2783</v>
      </c>
      <c r="C85" s="238" t="s">
        <v>2768</v>
      </c>
      <c r="D85" s="26"/>
      <c r="E85" s="27"/>
      <c r="F85" s="28"/>
      <c r="G85" s="28"/>
      <c r="H85" s="28">
        <v>10271</v>
      </c>
      <c r="I85" s="28">
        <v>11298</v>
      </c>
      <c r="J85" s="44">
        <f t="shared" si="30"/>
        <v>10271</v>
      </c>
      <c r="K85" s="121">
        <f t="shared" si="13"/>
        <v>10271</v>
      </c>
      <c r="L85" s="121">
        <f t="shared" si="20"/>
        <v>11811.65</v>
      </c>
      <c r="M85" s="121">
        <f t="shared" si="31"/>
        <v>11811.65</v>
      </c>
      <c r="N85" s="121">
        <f t="shared" si="32"/>
        <v>11811.65</v>
      </c>
      <c r="O85" s="121">
        <f t="shared" si="34"/>
        <v>11811.65</v>
      </c>
      <c r="P85" s="121">
        <f t="shared" si="35"/>
        <v>12165</v>
      </c>
      <c r="Q85" s="1566"/>
      <c r="R85" s="839"/>
      <c r="S85" s="839"/>
      <c r="T85" s="1318">
        <f t="shared" si="33"/>
        <v>0</v>
      </c>
      <c r="U85" s="1316">
        <f t="shared" si="36"/>
        <v>-1</v>
      </c>
      <c r="V85" s="839"/>
      <c r="W85" s="839"/>
      <c r="X85" s="839"/>
      <c r="Y85" s="839"/>
      <c r="Z85" s="839"/>
      <c r="AA85" s="839"/>
    </row>
    <row r="86" spans="1:27" ht="18">
      <c r="A86" s="1350" t="s">
        <v>2093</v>
      </c>
      <c r="B86" s="1382" t="s">
        <v>2784</v>
      </c>
      <c r="C86" s="238" t="s">
        <v>2768</v>
      </c>
      <c r="D86" s="26"/>
      <c r="E86" s="27"/>
      <c r="F86" s="28"/>
      <c r="G86" s="28"/>
      <c r="H86" s="28">
        <v>4532</v>
      </c>
      <c r="I86" s="28">
        <v>4985</v>
      </c>
      <c r="J86" s="44">
        <f t="shared" si="30"/>
        <v>4532</v>
      </c>
      <c r="K86" s="121">
        <f t="shared" si="13"/>
        <v>4532</v>
      </c>
      <c r="L86" s="121">
        <f t="shared" si="20"/>
        <v>5211.7999999999993</v>
      </c>
      <c r="M86" s="121">
        <f t="shared" si="31"/>
        <v>5211.7999999999993</v>
      </c>
      <c r="N86" s="121">
        <f t="shared" si="32"/>
        <v>5211.7999999999993</v>
      </c>
      <c r="O86" s="121">
        <f t="shared" si="34"/>
        <v>5211.7999999999993</v>
      </c>
      <c r="P86" s="121">
        <f t="shared" si="35"/>
        <v>5368</v>
      </c>
      <c r="Q86" s="1566"/>
      <c r="R86" s="839">
        <v>5390.1</v>
      </c>
      <c r="S86" s="839"/>
      <c r="T86" s="1318">
        <f t="shared" si="33"/>
        <v>5390.1</v>
      </c>
      <c r="U86" s="1316">
        <f t="shared" si="36"/>
        <v>3.4210829272036745E-2</v>
      </c>
      <c r="V86" s="839"/>
      <c r="W86" s="839"/>
      <c r="X86" s="839"/>
      <c r="Y86" s="839"/>
      <c r="Z86" s="839"/>
      <c r="AA86" s="839"/>
    </row>
    <row r="87" spans="1:27" ht="18">
      <c r="A87" s="1350" t="s">
        <v>2094</v>
      </c>
      <c r="B87" s="1382" t="s">
        <v>2785</v>
      </c>
      <c r="C87" s="238" t="s">
        <v>2768</v>
      </c>
      <c r="D87" s="26"/>
      <c r="E87" s="27"/>
      <c r="F87" s="28"/>
      <c r="G87" s="28"/>
      <c r="H87" s="28">
        <v>5967</v>
      </c>
      <c r="I87" s="28">
        <v>6563</v>
      </c>
      <c r="J87" s="44">
        <f t="shared" si="30"/>
        <v>5967</v>
      </c>
      <c r="K87" s="121">
        <f t="shared" si="13"/>
        <v>5967</v>
      </c>
      <c r="L87" s="121">
        <f t="shared" si="20"/>
        <v>6862.0499999999993</v>
      </c>
      <c r="M87" s="121">
        <f t="shared" si="31"/>
        <v>6862.0499999999993</v>
      </c>
      <c r="N87" s="121">
        <f t="shared" si="32"/>
        <v>6862.0499999999993</v>
      </c>
      <c r="O87" s="121">
        <f t="shared" si="34"/>
        <v>6862.0499999999993</v>
      </c>
      <c r="P87" s="121">
        <f t="shared" si="35"/>
        <v>7067</v>
      </c>
      <c r="Q87" s="1566"/>
      <c r="R87" s="839">
        <v>7097.53</v>
      </c>
      <c r="S87" s="839"/>
      <c r="T87" s="1318">
        <f t="shared" si="33"/>
        <v>7097.53</v>
      </c>
      <c r="U87" s="1316">
        <f t="shared" si="36"/>
        <v>3.4316275748500887E-2</v>
      </c>
      <c r="V87" s="839"/>
      <c r="W87" s="839"/>
      <c r="X87" s="839"/>
      <c r="Y87" s="839"/>
      <c r="Z87" s="839"/>
      <c r="AA87" s="839"/>
    </row>
    <row r="88" spans="1:27" ht="18">
      <c r="A88" s="1350" t="s">
        <v>2095</v>
      </c>
      <c r="B88" s="1382" t="s">
        <v>2786</v>
      </c>
      <c r="C88" s="238" t="s">
        <v>2768</v>
      </c>
      <c r="D88" s="26"/>
      <c r="E88" s="27"/>
      <c r="F88" s="28"/>
      <c r="G88" s="28"/>
      <c r="H88" s="28">
        <v>7401</v>
      </c>
      <c r="I88" s="28">
        <v>8141</v>
      </c>
      <c r="J88" s="44">
        <f t="shared" si="30"/>
        <v>7401</v>
      </c>
      <c r="K88" s="121">
        <f t="shared" si="13"/>
        <v>7401</v>
      </c>
      <c r="L88" s="121">
        <f t="shared" si="20"/>
        <v>8511.15</v>
      </c>
      <c r="M88" s="121">
        <f t="shared" si="31"/>
        <v>8511.15</v>
      </c>
      <c r="N88" s="121">
        <f t="shared" si="32"/>
        <v>8511.15</v>
      </c>
      <c r="O88" s="121">
        <f t="shared" si="34"/>
        <v>8511.15</v>
      </c>
      <c r="P88" s="121">
        <f t="shared" si="35"/>
        <v>8766</v>
      </c>
      <c r="Q88" s="1566"/>
      <c r="R88" s="839"/>
      <c r="S88" s="839"/>
      <c r="T88" s="1318">
        <f t="shared" si="33"/>
        <v>0</v>
      </c>
      <c r="U88" s="1316">
        <f t="shared" si="36"/>
        <v>-1</v>
      </c>
      <c r="V88" s="839"/>
      <c r="W88" s="839"/>
      <c r="X88" s="839"/>
      <c r="Y88" s="839"/>
      <c r="Z88" s="839"/>
      <c r="AA88" s="839"/>
    </row>
    <row r="89" spans="1:27" ht="18">
      <c r="A89" s="1350" t="s">
        <v>2096</v>
      </c>
      <c r="B89" s="1382" t="s">
        <v>2787</v>
      </c>
      <c r="C89" s="238" t="s">
        <v>2768</v>
      </c>
      <c r="D89" s="26"/>
      <c r="E89" s="27"/>
      <c r="F89" s="28"/>
      <c r="G89" s="28"/>
      <c r="H89" s="28">
        <v>6344</v>
      </c>
      <c r="I89" s="28">
        <v>6978</v>
      </c>
      <c r="J89" s="44">
        <f t="shared" si="30"/>
        <v>6344</v>
      </c>
      <c r="K89" s="121">
        <f t="shared" ref="K89:K99" si="37">J89</f>
        <v>6344</v>
      </c>
      <c r="L89" s="121">
        <f t="shared" si="20"/>
        <v>7295.5999999999995</v>
      </c>
      <c r="M89" s="121">
        <f t="shared" si="31"/>
        <v>7295.5999999999995</v>
      </c>
      <c r="N89" s="121">
        <f t="shared" si="32"/>
        <v>7295.5999999999995</v>
      </c>
      <c r="O89" s="121">
        <f t="shared" si="34"/>
        <v>7295.5999999999995</v>
      </c>
      <c r="P89" s="121">
        <f t="shared" si="35"/>
        <v>7514</v>
      </c>
      <c r="Q89" s="1566"/>
      <c r="R89" s="839">
        <v>7546.14</v>
      </c>
      <c r="S89" s="839"/>
      <c r="T89" s="1318">
        <f t="shared" si="33"/>
        <v>7546.14</v>
      </c>
      <c r="U89" s="1316">
        <f t="shared" si="36"/>
        <v>3.4341246778880542E-2</v>
      </c>
      <c r="V89" s="839"/>
      <c r="W89" s="839"/>
      <c r="X89" s="839"/>
      <c r="Y89" s="839"/>
      <c r="Z89" s="839"/>
      <c r="AA89" s="839"/>
    </row>
    <row r="90" spans="1:27" ht="18">
      <c r="A90" s="1350" t="s">
        <v>2097</v>
      </c>
      <c r="B90" s="1382" t="s">
        <v>2788</v>
      </c>
      <c r="C90" s="238" t="s">
        <v>2768</v>
      </c>
      <c r="D90" s="26"/>
      <c r="E90" s="27"/>
      <c r="F90" s="28"/>
      <c r="G90" s="28"/>
      <c r="H90" s="28">
        <v>8308</v>
      </c>
      <c r="I90" s="28">
        <v>9138</v>
      </c>
      <c r="J90" s="44">
        <f t="shared" si="30"/>
        <v>8308</v>
      </c>
      <c r="K90" s="121">
        <f t="shared" si="37"/>
        <v>8308</v>
      </c>
      <c r="L90" s="121">
        <f t="shared" si="20"/>
        <v>9554.1999999999989</v>
      </c>
      <c r="M90" s="121">
        <f t="shared" si="31"/>
        <v>9554.1999999999989</v>
      </c>
      <c r="N90" s="121">
        <f t="shared" si="32"/>
        <v>9554.1999999999989</v>
      </c>
      <c r="O90" s="121">
        <f t="shared" si="34"/>
        <v>9554.1999999999989</v>
      </c>
      <c r="P90" s="121">
        <f t="shared" si="35"/>
        <v>9840</v>
      </c>
      <c r="Q90" s="1566"/>
      <c r="R90" s="839">
        <v>9881.84</v>
      </c>
      <c r="S90" s="839"/>
      <c r="T90" s="1318">
        <f t="shared" si="33"/>
        <v>9881.84</v>
      </c>
      <c r="U90" s="1316">
        <f>(R90-O90)/O90</f>
        <v>3.4292771765297068E-2</v>
      </c>
      <c r="V90" s="839"/>
      <c r="W90" s="839"/>
      <c r="X90" s="839"/>
      <c r="Y90" s="839"/>
      <c r="Z90" s="839"/>
      <c r="AA90" s="839"/>
    </row>
    <row r="91" spans="1:27" ht="18">
      <c r="A91" s="1350" t="s">
        <v>2098</v>
      </c>
      <c r="B91" s="1382" t="s">
        <v>2789</v>
      </c>
      <c r="C91" s="238" t="s">
        <v>2768</v>
      </c>
      <c r="D91" s="26"/>
      <c r="E91" s="27"/>
      <c r="F91" s="28"/>
      <c r="G91" s="28"/>
      <c r="H91" s="28">
        <v>10271</v>
      </c>
      <c r="I91" s="28">
        <v>11298</v>
      </c>
      <c r="J91" s="44">
        <f t="shared" si="30"/>
        <v>10271</v>
      </c>
      <c r="K91" s="121">
        <f t="shared" si="37"/>
        <v>10271</v>
      </c>
      <c r="L91" s="121">
        <f t="shared" si="20"/>
        <v>11811.65</v>
      </c>
      <c r="M91" s="121">
        <f t="shared" si="31"/>
        <v>11811.65</v>
      </c>
      <c r="N91" s="121">
        <f t="shared" si="32"/>
        <v>11811.65</v>
      </c>
      <c r="O91" s="121">
        <f t="shared" si="34"/>
        <v>11811.65</v>
      </c>
      <c r="P91" s="121">
        <f t="shared" si="35"/>
        <v>12165</v>
      </c>
      <c r="Q91" s="1566"/>
      <c r="R91" s="839"/>
      <c r="S91" s="839"/>
      <c r="T91" s="1318">
        <f t="shared" si="33"/>
        <v>0</v>
      </c>
      <c r="U91" s="1316">
        <f t="shared" si="36"/>
        <v>-1</v>
      </c>
      <c r="V91" s="839"/>
      <c r="W91" s="839"/>
      <c r="X91" s="839"/>
      <c r="Y91" s="839"/>
      <c r="Z91" s="839"/>
      <c r="AA91" s="839"/>
    </row>
    <row r="92" spans="1:27" ht="18.75" customHeight="1">
      <c r="A92" s="1349">
        <v>8.4</v>
      </c>
      <c r="B92" s="1386" t="s">
        <v>1408</v>
      </c>
      <c r="C92" s="1344"/>
      <c r="D92" s="384"/>
      <c r="E92" s="373"/>
      <c r="F92" s="429"/>
      <c r="G92" s="429"/>
      <c r="H92" s="429">
        <v>10271</v>
      </c>
      <c r="I92" s="429">
        <v>11298</v>
      </c>
      <c r="J92" s="429">
        <f t="shared" si="30"/>
        <v>10271</v>
      </c>
      <c r="K92" s="430">
        <f t="shared" si="37"/>
        <v>10271</v>
      </c>
      <c r="L92" s="430"/>
      <c r="M92" s="430"/>
      <c r="N92" s="430"/>
      <c r="O92" s="430"/>
      <c r="P92" s="430"/>
      <c r="Q92" s="431"/>
      <c r="R92" s="839"/>
      <c r="S92" s="839"/>
      <c r="T92" s="839"/>
      <c r="U92" s="1012"/>
      <c r="V92" s="839"/>
      <c r="W92" s="839"/>
      <c r="X92" s="839"/>
      <c r="Y92" s="839"/>
      <c r="Z92" s="839"/>
      <c r="AA92" s="839"/>
    </row>
    <row r="93" spans="1:27" ht="75.599999999999994" customHeight="1">
      <c r="A93" s="1350" t="s">
        <v>2099</v>
      </c>
      <c r="B93" s="1385" t="s">
        <v>2790</v>
      </c>
      <c r="C93" s="1345"/>
      <c r="D93" s="26"/>
      <c r="E93" s="27"/>
      <c r="F93" s="28"/>
      <c r="G93" s="28"/>
      <c r="H93" s="28"/>
      <c r="I93" s="40"/>
      <c r="J93" s="40"/>
      <c r="K93" s="121"/>
      <c r="L93" s="121"/>
      <c r="M93" s="121"/>
      <c r="N93" s="121"/>
      <c r="O93" s="121"/>
      <c r="P93" s="121"/>
      <c r="Q93" s="29"/>
      <c r="R93" s="839"/>
      <c r="S93" s="839"/>
      <c r="T93" s="839"/>
      <c r="U93" s="1012"/>
      <c r="V93" s="839"/>
      <c r="W93" s="839"/>
      <c r="X93" s="839"/>
      <c r="Y93" s="839"/>
      <c r="Z93" s="839"/>
      <c r="AA93" s="839"/>
    </row>
    <row r="94" spans="1:27" ht="18">
      <c r="A94" s="1350"/>
      <c r="B94" s="1046" t="s">
        <v>1409</v>
      </c>
      <c r="C94" s="238" t="s">
        <v>2768</v>
      </c>
      <c r="D94" s="26"/>
      <c r="E94" s="27"/>
      <c r="F94" s="28"/>
      <c r="G94" s="28"/>
      <c r="H94" s="28">
        <v>1630</v>
      </c>
      <c r="I94" s="40">
        <v>1793</v>
      </c>
      <c r="J94" s="40">
        <f>H94</f>
        <v>1630</v>
      </c>
      <c r="K94" s="121">
        <f t="shared" si="37"/>
        <v>1630</v>
      </c>
      <c r="L94" s="121">
        <f t="shared" si="20"/>
        <v>1874.4999999999998</v>
      </c>
      <c r="M94" s="121">
        <f t="shared" si="31"/>
        <v>1874.4999999999998</v>
      </c>
      <c r="N94" s="121">
        <f t="shared" si="32"/>
        <v>1874.4999999999998</v>
      </c>
      <c r="O94" s="121">
        <f>N94</f>
        <v>1874.4999999999998</v>
      </c>
      <c r="P94" s="121">
        <f>103.41%*O94</f>
        <v>1938.4204499999998</v>
      </c>
      <c r="Q94" s="1566"/>
      <c r="R94" s="839">
        <v>2110.6799999999998</v>
      </c>
      <c r="S94" s="839"/>
      <c r="T94" s="839"/>
      <c r="U94" s="1316">
        <f>(R94-O94)/O94</f>
        <v>0.1259962656708456</v>
      </c>
      <c r="V94" s="839"/>
      <c r="W94" s="839"/>
      <c r="X94" s="839"/>
      <c r="Y94" s="839"/>
      <c r="Z94" s="839"/>
      <c r="AA94" s="839"/>
    </row>
    <row r="95" spans="1:27" ht="75.599999999999994" customHeight="1">
      <c r="A95" s="1350" t="s">
        <v>2100</v>
      </c>
      <c r="B95" s="1385" t="s">
        <v>2792</v>
      </c>
      <c r="C95" s="1345"/>
      <c r="D95" s="26"/>
      <c r="E95" s="27"/>
      <c r="F95" s="28"/>
      <c r="G95" s="28"/>
      <c r="H95" s="28"/>
      <c r="I95" s="40"/>
      <c r="J95" s="40"/>
      <c r="K95" s="121"/>
      <c r="L95" s="121"/>
      <c r="M95" s="121"/>
      <c r="N95" s="121"/>
      <c r="O95" s="121"/>
      <c r="P95" s="121"/>
      <c r="Q95" s="29"/>
      <c r="R95" s="839"/>
      <c r="S95" s="839"/>
      <c r="T95" s="839"/>
      <c r="U95" s="1012"/>
      <c r="V95" s="839"/>
      <c r="W95" s="839"/>
      <c r="X95" s="839"/>
      <c r="Y95" s="839"/>
      <c r="Z95" s="839"/>
      <c r="AA95" s="839"/>
    </row>
    <row r="96" spans="1:27" ht="18">
      <c r="A96" s="1350"/>
      <c r="B96" s="1046" t="s">
        <v>1409</v>
      </c>
      <c r="C96" s="238" t="s">
        <v>2768</v>
      </c>
      <c r="D96" s="26"/>
      <c r="E96" s="27"/>
      <c r="F96" s="28"/>
      <c r="G96" s="28"/>
      <c r="H96" s="28">
        <v>1374</v>
      </c>
      <c r="I96" s="40">
        <v>1511</v>
      </c>
      <c r="J96" s="40">
        <f t="shared" ref="J96:J146" si="38">H96</f>
        <v>1374</v>
      </c>
      <c r="K96" s="121">
        <f t="shared" si="37"/>
        <v>1374</v>
      </c>
      <c r="L96" s="121">
        <f t="shared" si="20"/>
        <v>1580.1</v>
      </c>
      <c r="M96" s="121">
        <f t="shared" si="31"/>
        <v>1580.1</v>
      </c>
      <c r="N96" s="121">
        <f t="shared" si="32"/>
        <v>1580.1</v>
      </c>
      <c r="O96" s="121">
        <f t="shared" ref="O96:O98" si="39">N96</f>
        <v>1580.1</v>
      </c>
      <c r="P96" s="121">
        <f>103.41%*O96</f>
        <v>1633.9814099999999</v>
      </c>
      <c r="Q96" s="1566"/>
      <c r="R96" s="839">
        <v>1633.98</v>
      </c>
      <c r="S96" s="839"/>
      <c r="T96" s="839"/>
      <c r="U96" s="1316">
        <f>(R96-O96)/O96</f>
        <v>3.4099107651414537E-2</v>
      </c>
      <c r="V96" s="839"/>
      <c r="W96" s="839"/>
      <c r="X96" s="839"/>
      <c r="Y96" s="839"/>
      <c r="Z96" s="839"/>
      <c r="AA96" s="839"/>
    </row>
    <row r="97" spans="1:27" ht="108">
      <c r="A97" s="1350" t="s">
        <v>2101</v>
      </c>
      <c r="B97" s="1385" t="s">
        <v>2791</v>
      </c>
      <c r="C97" s="1345"/>
      <c r="D97" s="26"/>
      <c r="E97" s="27"/>
      <c r="F97" s="28"/>
      <c r="G97" s="28"/>
      <c r="H97" s="28"/>
      <c r="I97" s="40"/>
      <c r="J97" s="40"/>
      <c r="K97" s="121"/>
      <c r="L97" s="121"/>
      <c r="M97" s="121"/>
      <c r="N97" s="121"/>
      <c r="O97" s="121"/>
      <c r="P97" s="121"/>
      <c r="Q97" s="29"/>
      <c r="R97" s="839"/>
      <c r="S97" s="839"/>
      <c r="T97" s="839"/>
      <c r="U97" s="1012"/>
      <c r="V97" s="839"/>
      <c r="W97" s="839"/>
      <c r="X97" s="839"/>
      <c r="Y97" s="839"/>
      <c r="Z97" s="839"/>
      <c r="AA97" s="839"/>
    </row>
    <row r="98" spans="1:27" ht="18">
      <c r="A98" s="175"/>
      <c r="B98" s="1046" t="s">
        <v>1409</v>
      </c>
      <c r="C98" s="238" t="s">
        <v>2768</v>
      </c>
      <c r="D98" s="26"/>
      <c r="E98" s="27"/>
      <c r="F98" s="28"/>
      <c r="G98" s="28"/>
      <c r="H98" s="28">
        <v>1740</v>
      </c>
      <c r="I98" s="40">
        <v>1914</v>
      </c>
      <c r="J98" s="40">
        <f t="shared" si="38"/>
        <v>1740</v>
      </c>
      <c r="K98" s="121">
        <f t="shared" si="37"/>
        <v>1740</v>
      </c>
      <c r="L98" s="121">
        <f t="shared" ref="L98:L146" si="40">K98*1.15</f>
        <v>2000.9999999999998</v>
      </c>
      <c r="M98" s="121">
        <f t="shared" si="31"/>
        <v>2000.9999999999998</v>
      </c>
      <c r="N98" s="121">
        <f t="shared" si="32"/>
        <v>2000.9999999999998</v>
      </c>
      <c r="O98" s="121">
        <f t="shared" si="39"/>
        <v>2000.9999999999998</v>
      </c>
      <c r="P98" s="121">
        <f>103.41%*O98</f>
        <v>2069.2340999999997</v>
      </c>
      <c r="Q98" s="1566"/>
      <c r="R98" s="839">
        <v>2070.16</v>
      </c>
      <c r="S98" s="839"/>
      <c r="T98" s="839"/>
      <c r="U98" s="1316">
        <f>(R98-O98)/O98</f>
        <v>3.4562718640679703E-2</v>
      </c>
      <c r="V98" s="839"/>
      <c r="W98" s="839"/>
      <c r="X98" s="839"/>
      <c r="Y98" s="839"/>
      <c r="Z98" s="839"/>
      <c r="AA98" s="839"/>
    </row>
    <row r="99" spans="1:27" ht="15.75" hidden="1">
      <c r="A99" s="175" t="s">
        <v>167</v>
      </c>
      <c r="B99" s="66" t="s">
        <v>168</v>
      </c>
      <c r="C99" s="37" t="s">
        <v>169</v>
      </c>
      <c r="D99" s="26"/>
      <c r="E99" s="27"/>
      <c r="F99" s="28"/>
      <c r="G99" s="28"/>
      <c r="H99" s="28">
        <v>245</v>
      </c>
      <c r="I99" s="40">
        <f>H99</f>
        <v>245</v>
      </c>
      <c r="J99" s="40">
        <f t="shared" si="38"/>
        <v>245</v>
      </c>
      <c r="K99" s="121">
        <f t="shared" si="37"/>
        <v>245</v>
      </c>
      <c r="L99" s="121">
        <f t="shared" si="40"/>
        <v>281.75</v>
      </c>
      <c r="M99" s="121">
        <f t="shared" si="31"/>
        <v>281.75</v>
      </c>
      <c r="N99" s="121">
        <f t="shared" si="32"/>
        <v>281.75</v>
      </c>
      <c r="O99" s="121"/>
      <c r="P99" s="121"/>
      <c r="Q99" s="29"/>
      <c r="R99" s="839"/>
      <c r="S99" s="839"/>
      <c r="T99" s="839"/>
      <c r="U99" s="1012"/>
      <c r="V99" s="839"/>
      <c r="W99" s="839"/>
      <c r="X99" s="839"/>
      <c r="Y99" s="839"/>
      <c r="Z99" s="839"/>
      <c r="AA99" s="839"/>
    </row>
    <row r="100" spans="1:27" ht="28.9" customHeight="1">
      <c r="A100" s="441">
        <v>8.5</v>
      </c>
      <c r="B100" s="449" t="s">
        <v>1551</v>
      </c>
      <c r="C100" s="446"/>
      <c r="D100" s="446"/>
      <c r="E100" s="447"/>
      <c r="F100" s="447"/>
      <c r="G100" s="447"/>
      <c r="H100" s="447"/>
      <c r="I100" s="447"/>
      <c r="J100" s="447"/>
      <c r="K100" s="447"/>
      <c r="L100" s="447"/>
      <c r="M100" s="448"/>
      <c r="N100" s="448"/>
      <c r="O100" s="448"/>
      <c r="P100" s="448"/>
      <c r="Q100" s="1085"/>
      <c r="R100" s="1043" t="s">
        <v>2482</v>
      </c>
      <c r="S100" s="1043"/>
      <c r="T100" s="1043"/>
      <c r="U100" s="453" t="s">
        <v>2322</v>
      </c>
      <c r="V100" s="839"/>
      <c r="W100" s="839"/>
      <c r="X100" s="839"/>
      <c r="Y100" s="839"/>
      <c r="Z100" s="839"/>
      <c r="AA100" s="839"/>
    </row>
    <row r="101" spans="1:27" ht="19.5">
      <c r="A101" s="450" t="s">
        <v>2102</v>
      </c>
      <c r="B101" s="452" t="s">
        <v>1552</v>
      </c>
      <c r="C101" s="204" t="s">
        <v>1553</v>
      </c>
      <c r="D101" s="204"/>
      <c r="E101" s="205"/>
      <c r="F101" s="205"/>
      <c r="G101" s="205"/>
      <c r="H101" s="205"/>
      <c r="I101" s="205"/>
      <c r="J101" s="205"/>
      <c r="K101" s="205"/>
      <c r="L101" s="205"/>
      <c r="M101" s="206">
        <v>618</v>
      </c>
      <c r="N101" s="206">
        <v>640</v>
      </c>
      <c r="O101" s="206">
        <f>N101</f>
        <v>640</v>
      </c>
      <c r="P101" s="206">
        <f>U101</f>
        <v>652</v>
      </c>
      <c r="Q101" s="1567"/>
      <c r="R101" s="1315">
        <v>445</v>
      </c>
      <c r="S101" s="1315"/>
      <c r="T101" s="1315"/>
      <c r="U101" s="118">
        <v>652</v>
      </c>
      <c r="V101" s="839"/>
      <c r="W101" s="839"/>
      <c r="X101" s="839"/>
      <c r="Y101" s="839"/>
      <c r="Z101" s="839"/>
      <c r="AA101" s="839"/>
    </row>
    <row r="102" spans="1:27" ht="19.5">
      <c r="A102" s="450" t="s">
        <v>2104</v>
      </c>
      <c r="B102" s="452" t="s">
        <v>1554</v>
      </c>
      <c r="C102" s="204" t="s">
        <v>1553</v>
      </c>
      <c r="D102" s="204"/>
      <c r="E102" s="205"/>
      <c r="F102" s="205"/>
      <c r="G102" s="205"/>
      <c r="H102" s="205"/>
      <c r="I102" s="205"/>
      <c r="J102" s="205"/>
      <c r="K102" s="205"/>
      <c r="L102" s="205"/>
      <c r="M102" s="206">
        <v>463</v>
      </c>
      <c r="N102" s="206">
        <v>480</v>
      </c>
      <c r="O102" s="206">
        <f t="shared" ref="O102:O103" si="41">N102</f>
        <v>480</v>
      </c>
      <c r="P102" s="206">
        <f t="shared" ref="P102:P103" si="42">U102</f>
        <v>489</v>
      </c>
      <c r="Q102" s="1567"/>
      <c r="R102" s="1315">
        <v>435</v>
      </c>
      <c r="S102" s="1315"/>
      <c r="T102" s="1315"/>
      <c r="U102" s="118">
        <v>489</v>
      </c>
      <c r="V102" s="839"/>
      <c r="W102" s="839"/>
      <c r="X102" s="839"/>
      <c r="Y102" s="839"/>
      <c r="Z102" s="839"/>
      <c r="AA102" s="839"/>
    </row>
    <row r="103" spans="1:27" ht="19.5">
      <c r="A103" s="450" t="s">
        <v>2103</v>
      </c>
      <c r="B103" s="452" t="s">
        <v>1555</v>
      </c>
      <c r="C103" s="204" t="s">
        <v>1553</v>
      </c>
      <c r="D103" s="204"/>
      <c r="E103" s="205"/>
      <c r="F103" s="205"/>
      <c r="G103" s="205"/>
      <c r="H103" s="205"/>
      <c r="I103" s="205"/>
      <c r="J103" s="205"/>
      <c r="K103" s="205"/>
      <c r="L103" s="205"/>
      <c r="M103" s="206">
        <v>374</v>
      </c>
      <c r="N103" s="206">
        <v>385</v>
      </c>
      <c r="O103" s="206">
        <f t="shared" si="41"/>
        <v>385</v>
      </c>
      <c r="P103" s="206">
        <f t="shared" si="42"/>
        <v>395</v>
      </c>
      <c r="Q103" s="1567"/>
      <c r="R103" s="1315">
        <v>320</v>
      </c>
      <c r="S103" s="1315"/>
      <c r="T103" s="1315"/>
      <c r="U103" s="118">
        <v>395</v>
      </c>
      <c r="V103" s="839"/>
      <c r="W103" s="839"/>
      <c r="X103" s="839"/>
      <c r="Y103" s="839"/>
      <c r="Z103" s="839"/>
      <c r="AA103" s="839"/>
    </row>
    <row r="104" spans="1:27" ht="15" customHeight="1">
      <c r="A104" s="439">
        <v>9</v>
      </c>
      <c r="B104" s="385" t="s">
        <v>1556</v>
      </c>
      <c r="C104" s="328"/>
      <c r="D104" s="378"/>
      <c r="E104" s="377"/>
      <c r="F104" s="442"/>
      <c r="G104" s="442"/>
      <c r="H104" s="442"/>
      <c r="I104" s="442"/>
      <c r="J104" s="451"/>
      <c r="K104" s="451"/>
      <c r="L104" s="430"/>
      <c r="M104" s="430"/>
      <c r="N104" s="430"/>
      <c r="O104" s="430"/>
      <c r="P104" s="430"/>
      <c r="Q104" s="431"/>
      <c r="R104" s="839"/>
      <c r="S104" s="839"/>
      <c r="T104" s="839"/>
      <c r="U104" s="1012"/>
      <c r="V104" s="839"/>
      <c r="W104" s="839"/>
      <c r="X104" s="839"/>
      <c r="Y104" s="839"/>
      <c r="Z104" s="839"/>
      <c r="AA104" s="839"/>
    </row>
    <row r="105" spans="1:27" ht="19.5">
      <c r="A105" s="450">
        <f>A104+0.01</f>
        <v>9.01</v>
      </c>
      <c r="B105" s="822" t="s">
        <v>1557</v>
      </c>
      <c r="C105" s="25" t="s">
        <v>170</v>
      </c>
      <c r="D105" s="31"/>
      <c r="E105" s="32"/>
      <c r="F105" s="33"/>
      <c r="G105" s="33"/>
      <c r="H105" s="33"/>
      <c r="I105" s="33"/>
      <c r="J105" s="40"/>
      <c r="K105" s="40"/>
      <c r="L105" s="121"/>
      <c r="M105" s="121">
        <v>11358</v>
      </c>
      <c r="N105" s="121">
        <f>M105</f>
        <v>11358</v>
      </c>
      <c r="O105" s="121">
        <f>N105</f>
        <v>11358</v>
      </c>
      <c r="P105" s="121">
        <f>O105</f>
        <v>11358</v>
      </c>
      <c r="Q105" s="29"/>
      <c r="R105" s="839"/>
      <c r="S105" s="839"/>
      <c r="T105" s="839"/>
      <c r="U105" s="1012"/>
      <c r="V105" s="839"/>
      <c r="W105" s="839"/>
      <c r="X105" s="839"/>
      <c r="Y105" s="839"/>
      <c r="Z105" s="839"/>
      <c r="AA105" s="839"/>
    </row>
    <row r="106" spans="1:27" ht="19.5">
      <c r="A106" s="450">
        <f t="shared" ref="A106:A115" si="43">A105+0.01</f>
        <v>9.02</v>
      </c>
      <c r="B106" s="822" t="s">
        <v>2481</v>
      </c>
      <c r="C106" s="25" t="s">
        <v>170</v>
      </c>
      <c r="D106" s="31"/>
      <c r="E106" s="32"/>
      <c r="F106" s="33"/>
      <c r="G106" s="33"/>
      <c r="H106" s="33"/>
      <c r="I106" s="33"/>
      <c r="J106" s="40"/>
      <c r="K106" s="40"/>
      <c r="L106" s="121"/>
      <c r="M106" s="121">
        <v>10674</v>
      </c>
      <c r="N106" s="121">
        <f t="shared" ref="N106:N157" si="44">M106</f>
        <v>10674</v>
      </c>
      <c r="O106" s="121">
        <f t="shared" ref="O106:O115" si="45">N106</f>
        <v>10674</v>
      </c>
      <c r="P106" s="121">
        <f t="shared" ref="P106:P115" si="46">O106</f>
        <v>10674</v>
      </c>
      <c r="Q106" s="29"/>
      <c r="R106" s="839"/>
      <c r="S106" s="839"/>
      <c r="T106" s="839"/>
      <c r="U106" s="1012"/>
      <c r="V106" s="839"/>
      <c r="W106" s="839"/>
      <c r="X106" s="839"/>
      <c r="Y106" s="839"/>
      <c r="Z106" s="839"/>
      <c r="AA106" s="839"/>
    </row>
    <row r="107" spans="1:27" ht="19.5">
      <c r="A107" s="450">
        <f t="shared" si="43"/>
        <v>9.0299999999999994</v>
      </c>
      <c r="B107" s="822" t="s">
        <v>1559</v>
      </c>
      <c r="C107" s="25" t="s">
        <v>170</v>
      </c>
      <c r="D107" s="31"/>
      <c r="E107" s="32"/>
      <c r="F107" s="33"/>
      <c r="G107" s="33"/>
      <c r="H107" s="33"/>
      <c r="I107" s="33"/>
      <c r="J107" s="40"/>
      <c r="K107" s="40"/>
      <c r="L107" s="121"/>
      <c r="M107" s="121">
        <v>9792</v>
      </c>
      <c r="N107" s="121">
        <f t="shared" si="44"/>
        <v>9792</v>
      </c>
      <c r="O107" s="121">
        <f t="shared" si="45"/>
        <v>9792</v>
      </c>
      <c r="P107" s="121">
        <f t="shared" si="46"/>
        <v>9792</v>
      </c>
      <c r="Q107" s="29"/>
      <c r="R107" s="839"/>
      <c r="S107" s="839"/>
      <c r="T107" s="839"/>
      <c r="U107" s="1012"/>
      <c r="V107" s="839"/>
      <c r="W107" s="839"/>
      <c r="X107" s="839"/>
      <c r="Y107" s="839"/>
      <c r="Z107" s="839"/>
      <c r="AA107" s="839"/>
    </row>
    <row r="108" spans="1:27" ht="19.5">
      <c r="A108" s="450">
        <f t="shared" si="43"/>
        <v>9.0399999999999991</v>
      </c>
      <c r="B108" s="822" t="s">
        <v>1560</v>
      </c>
      <c r="C108" s="25" t="s">
        <v>170</v>
      </c>
      <c r="D108" s="31"/>
      <c r="E108" s="32"/>
      <c r="F108" s="33"/>
      <c r="G108" s="33"/>
      <c r="H108" s="33"/>
      <c r="I108" s="33"/>
      <c r="J108" s="40"/>
      <c r="K108" s="40"/>
      <c r="L108" s="121"/>
      <c r="M108" s="121">
        <v>8910</v>
      </c>
      <c r="N108" s="121">
        <f t="shared" si="44"/>
        <v>8910</v>
      </c>
      <c r="O108" s="121">
        <f t="shared" si="45"/>
        <v>8910</v>
      </c>
      <c r="P108" s="121">
        <f t="shared" si="46"/>
        <v>8910</v>
      </c>
      <c r="Q108" s="29"/>
      <c r="R108" s="839"/>
      <c r="S108" s="839"/>
      <c r="T108" s="839"/>
      <c r="U108" s="1012"/>
      <c r="V108" s="839"/>
      <c r="W108" s="839"/>
      <c r="X108" s="839"/>
      <c r="Y108" s="839"/>
      <c r="Z108" s="839"/>
      <c r="AA108" s="839"/>
    </row>
    <row r="109" spans="1:27" ht="19.5">
      <c r="A109" s="450">
        <f t="shared" si="43"/>
        <v>9.0499999999999989</v>
      </c>
      <c r="B109" s="822" t="s">
        <v>1561</v>
      </c>
      <c r="C109" s="25" t="s">
        <v>170</v>
      </c>
      <c r="D109" s="31"/>
      <c r="E109" s="32"/>
      <c r="F109" s="33"/>
      <c r="G109" s="33"/>
      <c r="H109" s="33"/>
      <c r="I109" s="33"/>
      <c r="J109" s="40"/>
      <c r="K109" s="40"/>
      <c r="L109" s="121"/>
      <c r="M109" s="121">
        <v>8126</v>
      </c>
      <c r="N109" s="121">
        <f t="shared" si="44"/>
        <v>8126</v>
      </c>
      <c r="O109" s="121">
        <f t="shared" si="45"/>
        <v>8126</v>
      </c>
      <c r="P109" s="121">
        <f t="shared" si="46"/>
        <v>8126</v>
      </c>
      <c r="Q109" s="29"/>
      <c r="R109" s="839"/>
      <c r="S109" s="839"/>
      <c r="T109" s="839"/>
      <c r="U109" s="1012"/>
      <c r="V109" s="839"/>
      <c r="W109" s="839"/>
      <c r="X109" s="839"/>
      <c r="Y109" s="839"/>
      <c r="Z109" s="839"/>
      <c r="AA109" s="839"/>
    </row>
    <row r="110" spans="1:27" ht="19.5">
      <c r="A110" s="450">
        <f t="shared" si="43"/>
        <v>9.0599999999999987</v>
      </c>
      <c r="B110" s="822" t="s">
        <v>1562</v>
      </c>
      <c r="C110" s="25" t="s">
        <v>170</v>
      </c>
      <c r="D110" s="31"/>
      <c r="E110" s="32"/>
      <c r="F110" s="33"/>
      <c r="G110" s="33"/>
      <c r="H110" s="33"/>
      <c r="I110" s="33"/>
      <c r="J110" s="40"/>
      <c r="K110" s="40"/>
      <c r="L110" s="121"/>
      <c r="M110" s="121">
        <v>7781</v>
      </c>
      <c r="N110" s="121">
        <f t="shared" si="44"/>
        <v>7781</v>
      </c>
      <c r="O110" s="121">
        <f t="shared" si="45"/>
        <v>7781</v>
      </c>
      <c r="P110" s="121">
        <f t="shared" si="46"/>
        <v>7781</v>
      </c>
      <c r="Q110" s="29"/>
      <c r="R110" s="839"/>
      <c r="S110" s="839"/>
      <c r="T110" s="839"/>
      <c r="U110" s="1012"/>
      <c r="V110" s="839"/>
      <c r="W110" s="839"/>
      <c r="X110" s="839"/>
      <c r="Y110" s="839"/>
      <c r="Z110" s="839"/>
      <c r="AA110" s="839"/>
    </row>
    <row r="111" spans="1:27" ht="19.5">
      <c r="A111" s="450">
        <f t="shared" si="43"/>
        <v>9.0699999999999985</v>
      </c>
      <c r="B111" s="822" t="s">
        <v>1563</v>
      </c>
      <c r="C111" s="25" t="s">
        <v>170</v>
      </c>
      <c r="D111" s="31"/>
      <c r="E111" s="32"/>
      <c r="F111" s="33"/>
      <c r="G111" s="33"/>
      <c r="H111" s="33"/>
      <c r="I111" s="33"/>
      <c r="J111" s="40"/>
      <c r="K111" s="40"/>
      <c r="L111" s="121"/>
      <c r="M111" s="121">
        <v>7021</v>
      </c>
      <c r="N111" s="121">
        <f t="shared" si="44"/>
        <v>7021</v>
      </c>
      <c r="O111" s="121">
        <f t="shared" si="45"/>
        <v>7021</v>
      </c>
      <c r="P111" s="121">
        <f t="shared" si="46"/>
        <v>7021</v>
      </c>
      <c r="Q111" s="29"/>
      <c r="R111" s="839"/>
      <c r="S111" s="839"/>
      <c r="T111" s="839"/>
      <c r="U111" s="1012"/>
      <c r="V111" s="839"/>
      <c r="W111" s="839"/>
      <c r="X111" s="839"/>
      <c r="Y111" s="839"/>
      <c r="Z111" s="839"/>
      <c r="AA111" s="839"/>
    </row>
    <row r="112" spans="1:27" ht="19.5">
      <c r="A112" s="450">
        <f t="shared" si="43"/>
        <v>9.0799999999999983</v>
      </c>
      <c r="B112" s="822" t="s">
        <v>1564</v>
      </c>
      <c r="C112" s="25" t="s">
        <v>170</v>
      </c>
      <c r="D112" s="31"/>
      <c r="E112" s="32"/>
      <c r="F112" s="33"/>
      <c r="G112" s="33"/>
      <c r="H112" s="33"/>
      <c r="I112" s="33"/>
      <c r="J112" s="40"/>
      <c r="K112" s="40"/>
      <c r="L112" s="121"/>
      <c r="M112" s="121">
        <v>6403</v>
      </c>
      <c r="N112" s="121">
        <f t="shared" si="44"/>
        <v>6403</v>
      </c>
      <c r="O112" s="121">
        <f t="shared" si="45"/>
        <v>6403</v>
      </c>
      <c r="P112" s="121">
        <f t="shared" si="46"/>
        <v>6403</v>
      </c>
      <c r="Q112" s="29"/>
      <c r="R112" s="839"/>
      <c r="S112" s="839"/>
      <c r="T112" s="839"/>
      <c r="U112" s="1012"/>
      <c r="V112" s="839"/>
      <c r="W112" s="839"/>
      <c r="X112" s="839"/>
      <c r="Y112" s="839"/>
      <c r="Z112" s="839"/>
      <c r="AA112" s="839"/>
    </row>
    <row r="113" spans="1:27" ht="19.5">
      <c r="A113" s="450">
        <f t="shared" si="43"/>
        <v>9.0899999999999981</v>
      </c>
      <c r="B113" s="822" t="s">
        <v>1565</v>
      </c>
      <c r="C113" s="25" t="s">
        <v>170</v>
      </c>
      <c r="D113" s="31"/>
      <c r="E113" s="32"/>
      <c r="F113" s="33"/>
      <c r="G113" s="33"/>
      <c r="H113" s="33"/>
      <c r="I113" s="33"/>
      <c r="J113" s="40"/>
      <c r="K113" s="40"/>
      <c r="L113" s="121"/>
      <c r="M113" s="121">
        <v>6029</v>
      </c>
      <c r="N113" s="121">
        <f t="shared" si="44"/>
        <v>6029</v>
      </c>
      <c r="O113" s="121">
        <f t="shared" si="45"/>
        <v>6029</v>
      </c>
      <c r="P113" s="121">
        <f t="shared" si="46"/>
        <v>6029</v>
      </c>
      <c r="Q113" s="29"/>
      <c r="R113" s="839"/>
      <c r="S113" s="839"/>
      <c r="T113" s="839"/>
      <c r="U113" s="1012"/>
      <c r="V113" s="839"/>
      <c r="W113" s="839"/>
      <c r="X113" s="839"/>
      <c r="Y113" s="839"/>
      <c r="Z113" s="839"/>
      <c r="AA113" s="839"/>
    </row>
    <row r="114" spans="1:27" ht="19.5">
      <c r="A114" s="450">
        <f t="shared" si="43"/>
        <v>9.0999999999999979</v>
      </c>
      <c r="B114" s="822" t="s">
        <v>1566</v>
      </c>
      <c r="C114" s="25" t="s">
        <v>170</v>
      </c>
      <c r="D114" s="31"/>
      <c r="E114" s="32"/>
      <c r="F114" s="33"/>
      <c r="G114" s="33"/>
      <c r="H114" s="33"/>
      <c r="I114" s="33"/>
      <c r="J114" s="40"/>
      <c r="K114" s="40"/>
      <c r="L114" s="121"/>
      <c r="M114" s="121">
        <v>5786</v>
      </c>
      <c r="N114" s="121">
        <f t="shared" si="44"/>
        <v>5786</v>
      </c>
      <c r="O114" s="121">
        <f t="shared" si="45"/>
        <v>5786</v>
      </c>
      <c r="P114" s="121">
        <f t="shared" si="46"/>
        <v>5786</v>
      </c>
      <c r="Q114" s="29"/>
      <c r="R114" s="839"/>
      <c r="S114" s="839"/>
      <c r="T114" s="839"/>
      <c r="U114" s="1012"/>
      <c r="V114" s="839"/>
      <c r="W114" s="839"/>
      <c r="X114" s="839"/>
      <c r="Y114" s="839"/>
      <c r="Z114" s="839"/>
      <c r="AA114" s="839"/>
    </row>
    <row r="115" spans="1:27" ht="19.5">
      <c r="A115" s="450">
        <f t="shared" si="43"/>
        <v>9.1099999999999977</v>
      </c>
      <c r="B115" s="822" t="s">
        <v>1567</v>
      </c>
      <c r="C115" s="25" t="s">
        <v>170</v>
      </c>
      <c r="D115" s="31"/>
      <c r="E115" s="32"/>
      <c r="F115" s="33"/>
      <c r="G115" s="33"/>
      <c r="H115" s="33"/>
      <c r="I115" s="33"/>
      <c r="J115" s="40"/>
      <c r="K115" s="40"/>
      <c r="L115" s="121"/>
      <c r="M115" s="121">
        <v>5364</v>
      </c>
      <c r="N115" s="121">
        <f t="shared" si="44"/>
        <v>5364</v>
      </c>
      <c r="O115" s="121">
        <f t="shared" si="45"/>
        <v>5364</v>
      </c>
      <c r="P115" s="121">
        <f t="shared" si="46"/>
        <v>5364</v>
      </c>
      <c r="Q115" s="29"/>
      <c r="R115" s="839"/>
      <c r="S115" s="839"/>
      <c r="T115" s="839"/>
      <c r="U115" s="1012"/>
      <c r="V115" s="839"/>
      <c r="W115" s="839"/>
      <c r="X115" s="839"/>
      <c r="Y115" s="839"/>
      <c r="Z115" s="839"/>
      <c r="AA115" s="839"/>
    </row>
    <row r="116" spans="1:27" ht="15.75">
      <c r="A116" s="786">
        <v>10</v>
      </c>
      <c r="B116" s="605" t="s">
        <v>1568</v>
      </c>
      <c r="C116" s="610"/>
      <c r="D116" s="621"/>
      <c r="E116" s="622"/>
      <c r="F116" s="789"/>
      <c r="G116" s="789"/>
      <c r="H116" s="789"/>
      <c r="I116" s="789"/>
      <c r="J116" s="781"/>
      <c r="K116" s="781"/>
      <c r="L116" s="782"/>
      <c r="M116" s="782"/>
      <c r="N116" s="782"/>
      <c r="O116" s="782"/>
      <c r="P116" s="782"/>
      <c r="Q116" s="783"/>
      <c r="R116" s="839" t="s">
        <v>2497</v>
      </c>
      <c r="S116" s="839"/>
      <c r="T116" s="839"/>
      <c r="U116" s="1012"/>
      <c r="V116" s="839"/>
      <c r="W116" s="839"/>
      <c r="X116" s="839"/>
      <c r="Y116" s="839"/>
      <c r="Z116" s="839"/>
      <c r="AA116" s="839"/>
    </row>
    <row r="117" spans="1:27" ht="19.5">
      <c r="A117" s="450">
        <f>A116+0.01</f>
        <v>10.01</v>
      </c>
      <c r="B117" s="193" t="s">
        <v>1557</v>
      </c>
      <c r="C117" s="25" t="s">
        <v>170</v>
      </c>
      <c r="D117" s="31"/>
      <c r="E117" s="32"/>
      <c r="F117" s="33"/>
      <c r="G117" s="33"/>
      <c r="H117" s="33"/>
      <c r="I117" s="33"/>
      <c r="J117" s="40"/>
      <c r="K117" s="40"/>
      <c r="L117" s="121"/>
      <c r="M117" s="121">
        <v>13627</v>
      </c>
      <c r="N117" s="121">
        <f t="shared" si="44"/>
        <v>13627</v>
      </c>
      <c r="O117" s="121">
        <f>N117</f>
        <v>13627</v>
      </c>
      <c r="P117" s="121">
        <f>O117</f>
        <v>13627</v>
      </c>
      <c r="Q117" s="29"/>
      <c r="R117" s="839"/>
      <c r="S117" s="839"/>
      <c r="T117" s="839"/>
      <c r="U117" s="1012"/>
      <c r="V117" s="839"/>
      <c r="W117" s="839"/>
      <c r="X117" s="839"/>
      <c r="Y117" s="839"/>
      <c r="Z117" s="839"/>
      <c r="AA117" s="839"/>
    </row>
    <row r="118" spans="1:27" ht="19.5">
      <c r="A118" s="450">
        <f t="shared" ref="A118:A124" si="47">A117+0.01</f>
        <v>10.02</v>
      </c>
      <c r="B118" s="193" t="s">
        <v>1558</v>
      </c>
      <c r="C118" s="25" t="s">
        <v>170</v>
      </c>
      <c r="D118" s="31"/>
      <c r="E118" s="32"/>
      <c r="F118" s="33"/>
      <c r="G118" s="33"/>
      <c r="H118" s="33"/>
      <c r="I118" s="33"/>
      <c r="J118" s="40"/>
      <c r="K118" s="40"/>
      <c r="L118" s="121"/>
      <c r="M118" s="121">
        <v>13187</v>
      </c>
      <c r="N118" s="121">
        <f t="shared" si="44"/>
        <v>13187</v>
      </c>
      <c r="O118" s="121">
        <f t="shared" ref="O118:O124" si="48">N118</f>
        <v>13187</v>
      </c>
      <c r="P118" s="121">
        <f t="shared" ref="P118:P124" si="49">O118</f>
        <v>13187</v>
      </c>
      <c r="Q118" s="29"/>
      <c r="R118" s="839"/>
      <c r="S118" s="839"/>
      <c r="T118" s="839"/>
      <c r="U118" s="1012"/>
      <c r="V118" s="839"/>
      <c r="W118" s="839"/>
      <c r="X118" s="839"/>
      <c r="Y118" s="839"/>
      <c r="Z118" s="839"/>
      <c r="AA118" s="839"/>
    </row>
    <row r="119" spans="1:27" ht="19.5">
      <c r="A119" s="450">
        <f t="shared" si="47"/>
        <v>10.029999999999999</v>
      </c>
      <c r="B119" s="193" t="s">
        <v>1559</v>
      </c>
      <c r="C119" s="25" t="s">
        <v>170</v>
      </c>
      <c r="D119" s="31"/>
      <c r="E119" s="32"/>
      <c r="F119" s="33"/>
      <c r="G119" s="33"/>
      <c r="H119" s="33"/>
      <c r="I119" s="33"/>
      <c r="J119" s="40"/>
      <c r="K119" s="40"/>
      <c r="L119" s="121"/>
      <c r="M119" s="121">
        <v>12252</v>
      </c>
      <c r="N119" s="121">
        <f t="shared" si="44"/>
        <v>12252</v>
      </c>
      <c r="O119" s="121">
        <f t="shared" si="48"/>
        <v>12252</v>
      </c>
      <c r="P119" s="121">
        <f t="shared" si="49"/>
        <v>12252</v>
      </c>
      <c r="Q119" s="29"/>
      <c r="R119" s="839"/>
      <c r="S119" s="839"/>
      <c r="T119" s="839"/>
      <c r="U119" s="1012"/>
      <c r="V119" s="839"/>
      <c r="W119" s="839"/>
      <c r="X119" s="839"/>
      <c r="Y119" s="839"/>
      <c r="Z119" s="839"/>
      <c r="AA119" s="839"/>
    </row>
    <row r="120" spans="1:27" ht="19.5">
      <c r="A120" s="450">
        <f t="shared" si="47"/>
        <v>10.039999999999999</v>
      </c>
      <c r="B120" s="193" t="s">
        <v>1560</v>
      </c>
      <c r="C120" s="25" t="s">
        <v>170</v>
      </c>
      <c r="D120" s="31"/>
      <c r="E120" s="32"/>
      <c r="F120" s="33"/>
      <c r="G120" s="33"/>
      <c r="H120" s="33"/>
      <c r="I120" s="33"/>
      <c r="J120" s="40"/>
      <c r="K120" s="40"/>
      <c r="L120" s="121"/>
      <c r="M120" s="121">
        <v>11316</v>
      </c>
      <c r="N120" s="121">
        <f t="shared" si="44"/>
        <v>11316</v>
      </c>
      <c r="O120" s="121">
        <f t="shared" si="48"/>
        <v>11316</v>
      </c>
      <c r="P120" s="121">
        <f t="shared" si="49"/>
        <v>11316</v>
      </c>
      <c r="Q120" s="29"/>
      <c r="R120" s="839">
        <v>10619.47</v>
      </c>
      <c r="S120" s="839"/>
      <c r="T120" s="839"/>
      <c r="U120" s="1012"/>
      <c r="V120" s="839"/>
      <c r="W120" s="839"/>
      <c r="X120" s="839"/>
      <c r="Y120" s="839"/>
      <c r="Z120" s="839"/>
      <c r="AA120" s="839"/>
    </row>
    <row r="121" spans="1:27" ht="19.5">
      <c r="A121" s="450">
        <f t="shared" si="47"/>
        <v>10.049999999999999</v>
      </c>
      <c r="B121" s="193" t="s">
        <v>1562</v>
      </c>
      <c r="C121" s="25" t="s">
        <v>170</v>
      </c>
      <c r="D121" s="31"/>
      <c r="E121" s="32"/>
      <c r="F121" s="33"/>
      <c r="G121" s="33"/>
      <c r="H121" s="33"/>
      <c r="I121" s="33"/>
      <c r="J121" s="40"/>
      <c r="K121" s="40"/>
      <c r="L121" s="121"/>
      <c r="M121" s="121">
        <v>9955</v>
      </c>
      <c r="N121" s="121">
        <f t="shared" si="44"/>
        <v>9955</v>
      </c>
      <c r="O121" s="121">
        <f t="shared" si="48"/>
        <v>9955</v>
      </c>
      <c r="P121" s="121">
        <f t="shared" si="49"/>
        <v>9955</v>
      </c>
      <c r="Q121" s="29"/>
      <c r="R121" s="839">
        <v>9292.0300000000007</v>
      </c>
      <c r="S121" s="839"/>
      <c r="T121" s="839"/>
      <c r="U121" s="1012"/>
      <c r="V121" s="839"/>
      <c r="W121" s="839"/>
      <c r="X121" s="839"/>
      <c r="Y121" s="839"/>
      <c r="Z121" s="839"/>
      <c r="AA121" s="839"/>
    </row>
    <row r="122" spans="1:27" ht="19.5">
      <c r="A122" s="450">
        <f t="shared" si="47"/>
        <v>10.059999999999999</v>
      </c>
      <c r="B122" s="193" t="s">
        <v>1563</v>
      </c>
      <c r="C122" s="25" t="s">
        <v>170</v>
      </c>
      <c r="D122" s="31"/>
      <c r="E122" s="32"/>
      <c r="F122" s="33"/>
      <c r="G122" s="33"/>
      <c r="H122" s="33"/>
      <c r="I122" s="33"/>
      <c r="J122" s="40"/>
      <c r="K122" s="40"/>
      <c r="L122" s="121"/>
      <c r="M122" s="121">
        <v>9017</v>
      </c>
      <c r="N122" s="121">
        <f t="shared" si="44"/>
        <v>9017</v>
      </c>
      <c r="O122" s="121">
        <f t="shared" si="48"/>
        <v>9017</v>
      </c>
      <c r="P122" s="121">
        <f t="shared" si="49"/>
        <v>9017</v>
      </c>
      <c r="Q122" s="29"/>
      <c r="R122" s="839"/>
      <c r="S122" s="839"/>
      <c r="T122" s="839"/>
      <c r="U122" s="1012"/>
      <c r="V122" s="839"/>
      <c r="W122" s="839"/>
      <c r="X122" s="839"/>
      <c r="Y122" s="839"/>
      <c r="Z122" s="839"/>
      <c r="AA122" s="839"/>
    </row>
    <row r="123" spans="1:27" ht="19.5">
      <c r="A123" s="450">
        <f t="shared" si="47"/>
        <v>10.069999999999999</v>
      </c>
      <c r="B123" s="193" t="s">
        <v>1565</v>
      </c>
      <c r="C123" s="25" t="s">
        <v>170</v>
      </c>
      <c r="D123" s="31"/>
      <c r="E123" s="32"/>
      <c r="F123" s="33"/>
      <c r="G123" s="33"/>
      <c r="H123" s="33"/>
      <c r="I123" s="33"/>
      <c r="J123" s="40"/>
      <c r="K123" s="40"/>
      <c r="L123" s="121"/>
      <c r="M123" s="121">
        <v>7935</v>
      </c>
      <c r="N123" s="121">
        <f t="shared" si="44"/>
        <v>7935</v>
      </c>
      <c r="O123" s="121">
        <f t="shared" si="48"/>
        <v>7935</v>
      </c>
      <c r="P123" s="121">
        <f t="shared" si="49"/>
        <v>7935</v>
      </c>
      <c r="Q123" s="29"/>
      <c r="R123" s="839"/>
      <c r="S123" s="839"/>
      <c r="T123" s="839"/>
      <c r="U123" s="1012"/>
      <c r="V123" s="839"/>
      <c r="W123" s="839"/>
      <c r="X123" s="839"/>
      <c r="Y123" s="839"/>
      <c r="Z123" s="839"/>
      <c r="AA123" s="839"/>
    </row>
    <row r="124" spans="1:27" ht="19.5">
      <c r="A124" s="450">
        <f t="shared" si="47"/>
        <v>10.079999999999998</v>
      </c>
      <c r="B124" s="193" t="s">
        <v>1566</v>
      </c>
      <c r="C124" s="25" t="s">
        <v>170</v>
      </c>
      <c r="D124" s="31"/>
      <c r="E124" s="32"/>
      <c r="F124" s="33"/>
      <c r="G124" s="33"/>
      <c r="H124" s="33"/>
      <c r="I124" s="33"/>
      <c r="J124" s="40"/>
      <c r="K124" s="40"/>
      <c r="L124" s="121"/>
      <c r="M124" s="121">
        <v>7538</v>
      </c>
      <c r="N124" s="121">
        <f t="shared" si="44"/>
        <v>7538</v>
      </c>
      <c r="O124" s="121">
        <f t="shared" si="48"/>
        <v>7538</v>
      </c>
      <c r="P124" s="121">
        <f t="shared" si="49"/>
        <v>7538</v>
      </c>
      <c r="Q124" s="29"/>
      <c r="R124" s="839"/>
      <c r="S124" s="839"/>
      <c r="T124" s="839"/>
      <c r="U124" s="1012"/>
      <c r="V124" s="839"/>
      <c r="W124" s="839"/>
      <c r="X124" s="839"/>
      <c r="Y124" s="839"/>
      <c r="Z124" s="839"/>
      <c r="AA124" s="839"/>
    </row>
    <row r="125" spans="1:27" ht="15.75">
      <c r="A125" s="786">
        <v>11</v>
      </c>
      <c r="B125" s="790" t="s">
        <v>1569</v>
      </c>
      <c r="C125" s="610"/>
      <c r="D125" s="621"/>
      <c r="E125" s="622"/>
      <c r="F125" s="789"/>
      <c r="G125" s="789"/>
      <c r="H125" s="789"/>
      <c r="I125" s="789"/>
      <c r="J125" s="791"/>
      <c r="K125" s="791"/>
      <c r="L125" s="792"/>
      <c r="M125" s="792"/>
      <c r="N125" s="792"/>
      <c r="O125" s="792"/>
      <c r="P125" s="792"/>
      <c r="Q125" s="793"/>
      <c r="R125" s="839"/>
      <c r="S125" s="839"/>
      <c r="T125" s="839"/>
      <c r="U125" s="1012"/>
      <c r="V125" s="839"/>
      <c r="W125" s="839"/>
      <c r="X125" s="839"/>
      <c r="Y125" s="839"/>
      <c r="Z125" s="839"/>
      <c r="AA125" s="839"/>
    </row>
    <row r="126" spans="1:27" ht="19.5">
      <c r="A126" s="450">
        <f>A125+0.01</f>
        <v>11.01</v>
      </c>
      <c r="B126" s="452" t="s">
        <v>2871</v>
      </c>
      <c r="C126" s="25" t="s">
        <v>170</v>
      </c>
      <c r="D126" s="31"/>
      <c r="E126" s="32"/>
      <c r="F126" s="33"/>
      <c r="G126" s="33"/>
      <c r="H126" s="33"/>
      <c r="I126" s="33"/>
      <c r="J126" s="40"/>
      <c r="K126" s="40"/>
      <c r="L126" s="121"/>
      <c r="M126" s="121">
        <v>21980</v>
      </c>
      <c r="N126" s="121">
        <f t="shared" si="44"/>
        <v>21980</v>
      </c>
      <c r="O126" s="121">
        <f>N126</f>
        <v>21980</v>
      </c>
      <c r="P126" s="121">
        <f>O126</f>
        <v>21980</v>
      </c>
      <c r="Q126" s="821"/>
      <c r="R126" s="839"/>
      <c r="S126" s="839"/>
      <c r="T126" s="839"/>
      <c r="U126" s="1012"/>
      <c r="V126" s="839"/>
      <c r="W126" s="839"/>
      <c r="X126" s="839"/>
      <c r="Y126" s="839"/>
      <c r="Z126" s="839"/>
      <c r="AA126" s="839"/>
    </row>
    <row r="127" spans="1:27" ht="19.5">
      <c r="A127" s="450">
        <f>A126+0.01</f>
        <v>11.02</v>
      </c>
      <c r="B127" s="452" t="s">
        <v>2870</v>
      </c>
      <c r="C127" s="25" t="s">
        <v>170</v>
      </c>
      <c r="D127" s="31"/>
      <c r="E127" s="32"/>
      <c r="F127" s="33"/>
      <c r="G127" s="33"/>
      <c r="H127" s="33"/>
      <c r="I127" s="33"/>
      <c r="J127" s="40"/>
      <c r="K127" s="40"/>
      <c r="L127" s="121"/>
      <c r="M127" s="121">
        <v>18530</v>
      </c>
      <c r="N127" s="121">
        <f t="shared" si="44"/>
        <v>18530</v>
      </c>
      <c r="O127" s="121">
        <f>N127</f>
        <v>18530</v>
      </c>
      <c r="P127" s="121">
        <f>O127</f>
        <v>18530</v>
      </c>
      <c r="Q127" s="821"/>
      <c r="R127" s="839"/>
      <c r="S127" s="839"/>
      <c r="T127" s="839"/>
      <c r="U127" s="1012"/>
      <c r="V127" s="839"/>
      <c r="W127" s="839"/>
      <c r="X127" s="839"/>
      <c r="Y127" s="839"/>
      <c r="Z127" s="839"/>
      <c r="AA127" s="839"/>
    </row>
    <row r="128" spans="1:27" ht="19.5">
      <c r="A128" s="450">
        <f>A127+0.01</f>
        <v>11.03</v>
      </c>
      <c r="B128" s="452" t="s">
        <v>2869</v>
      </c>
      <c r="C128" s="25" t="s">
        <v>170</v>
      </c>
      <c r="D128" s="31"/>
      <c r="E128" s="32"/>
      <c r="F128" s="33"/>
      <c r="G128" s="33"/>
      <c r="H128" s="33"/>
      <c r="I128" s="33"/>
      <c r="J128" s="40"/>
      <c r="K128" s="40"/>
      <c r="L128" s="121"/>
      <c r="M128" s="121"/>
      <c r="N128" s="1471">
        <v>0</v>
      </c>
      <c r="O128" s="1471">
        <v>0</v>
      </c>
      <c r="P128" s="121">
        <v>18058</v>
      </c>
      <c r="Q128" s="821"/>
      <c r="R128" s="839" t="s">
        <v>2872</v>
      </c>
      <c r="S128" s="839"/>
      <c r="T128" s="839"/>
      <c r="U128" s="1012"/>
      <c r="V128" s="839"/>
      <c r="W128" s="839"/>
      <c r="X128" s="839"/>
      <c r="Y128" s="839"/>
      <c r="Z128" s="839"/>
      <c r="AA128" s="839"/>
    </row>
    <row r="129" spans="1:27" ht="15.75">
      <c r="A129" s="439">
        <v>12</v>
      </c>
      <c r="B129" s="385" t="s">
        <v>171</v>
      </c>
      <c r="C129" s="328"/>
      <c r="D129" s="378"/>
      <c r="E129" s="377"/>
      <c r="F129" s="442"/>
      <c r="G129" s="442"/>
      <c r="H129" s="442"/>
      <c r="I129" s="442"/>
      <c r="J129" s="451"/>
      <c r="K129" s="451"/>
      <c r="L129" s="430"/>
      <c r="M129" s="430"/>
      <c r="N129" s="430"/>
      <c r="O129" s="430"/>
      <c r="P129" s="430"/>
      <c r="Q129" s="431"/>
      <c r="R129" s="839"/>
      <c r="S129" s="839"/>
      <c r="T129" s="839"/>
      <c r="U129" s="1012"/>
      <c r="V129" s="839"/>
      <c r="W129" s="839"/>
      <c r="X129" s="839"/>
      <c r="Y129" s="839"/>
      <c r="Z129" s="839"/>
      <c r="AA129" s="839"/>
    </row>
    <row r="130" spans="1:27" ht="19.5">
      <c r="A130" s="450">
        <f>A129+0.01</f>
        <v>12.01</v>
      </c>
      <c r="B130" s="67" t="s">
        <v>172</v>
      </c>
      <c r="C130" s="25" t="s">
        <v>149</v>
      </c>
      <c r="D130" s="26">
        <v>340</v>
      </c>
      <c r="E130" s="27">
        <v>478</v>
      </c>
      <c r="F130" s="28">
        <v>478</v>
      </c>
      <c r="G130" s="28">
        <v>478</v>
      </c>
      <c r="H130" s="28">
        <v>199.11504424778764</v>
      </c>
      <c r="I130" s="28">
        <f>H130</f>
        <v>199.11504424778764</v>
      </c>
      <c r="J130" s="40">
        <f t="shared" si="38"/>
        <v>199.11504424778764</v>
      </c>
      <c r="K130" s="40">
        <f t="shared" ref="K130:K146" si="50">J130</f>
        <v>199.11504424778764</v>
      </c>
      <c r="L130" s="121">
        <f t="shared" si="40"/>
        <v>228.98230088495578</v>
      </c>
      <c r="M130" s="121">
        <f t="shared" si="31"/>
        <v>228.98230088495578</v>
      </c>
      <c r="N130" s="121">
        <f t="shared" si="44"/>
        <v>228.98230088495578</v>
      </c>
      <c r="O130" s="121">
        <f>N130</f>
        <v>228.98230088495578</v>
      </c>
      <c r="P130" s="121">
        <f>O130</f>
        <v>228.98230088495578</v>
      </c>
      <c r="Q130" s="29"/>
      <c r="R130" s="839"/>
      <c r="S130" s="839"/>
      <c r="T130" s="839"/>
      <c r="U130" s="1012"/>
      <c r="V130" s="839"/>
      <c r="W130" s="839"/>
      <c r="X130" s="839"/>
      <c r="Y130" s="839"/>
      <c r="Z130" s="839"/>
      <c r="AA130" s="839"/>
    </row>
    <row r="131" spans="1:27" ht="19.5">
      <c r="A131" s="450">
        <f t="shared" ref="A131:A132" si="51">A130+0.01</f>
        <v>12.02</v>
      </c>
      <c r="B131" s="67" t="s">
        <v>173</v>
      </c>
      <c r="C131" s="25" t="s">
        <v>149</v>
      </c>
      <c r="D131" s="26">
        <v>340</v>
      </c>
      <c r="E131" s="27">
        <v>478</v>
      </c>
      <c r="F131" s="28">
        <v>478</v>
      </c>
      <c r="G131" s="28">
        <v>478</v>
      </c>
      <c r="H131" s="28">
        <v>199.11504424778764</v>
      </c>
      <c r="I131" s="28">
        <f>H131</f>
        <v>199.11504424778764</v>
      </c>
      <c r="J131" s="40">
        <f t="shared" si="38"/>
        <v>199.11504424778764</v>
      </c>
      <c r="K131" s="40">
        <f t="shared" si="50"/>
        <v>199.11504424778764</v>
      </c>
      <c r="L131" s="121">
        <f t="shared" si="40"/>
        <v>228.98230088495578</v>
      </c>
      <c r="M131" s="121">
        <f t="shared" si="31"/>
        <v>228.98230088495578</v>
      </c>
      <c r="N131" s="121">
        <f t="shared" si="44"/>
        <v>228.98230088495578</v>
      </c>
      <c r="O131" s="121">
        <f t="shared" ref="O131:O132" si="52">N131</f>
        <v>228.98230088495578</v>
      </c>
      <c r="P131" s="121">
        <f t="shared" ref="P131:P132" si="53">O131</f>
        <v>228.98230088495578</v>
      </c>
      <c r="Q131" s="29"/>
      <c r="R131" s="839"/>
      <c r="S131" s="839"/>
      <c r="T131" s="839"/>
      <c r="U131" s="1012"/>
      <c r="V131" s="839"/>
      <c r="W131" s="839"/>
      <c r="X131" s="839"/>
      <c r="Y131" s="839"/>
      <c r="Z131" s="839"/>
      <c r="AA131" s="839"/>
    </row>
    <row r="132" spans="1:27" ht="19.5">
      <c r="A132" s="450">
        <f t="shared" si="51"/>
        <v>12.03</v>
      </c>
      <c r="B132" s="67" t="s">
        <v>174</v>
      </c>
      <c r="C132" s="25" t="s">
        <v>149</v>
      </c>
      <c r="D132" s="26">
        <v>275</v>
      </c>
      <c r="E132" s="27">
        <v>372</v>
      </c>
      <c r="F132" s="28">
        <v>372</v>
      </c>
      <c r="G132" s="28">
        <v>372</v>
      </c>
      <c r="H132" s="28">
        <v>199.11504424778764</v>
      </c>
      <c r="I132" s="28">
        <f>H132</f>
        <v>199.11504424778764</v>
      </c>
      <c r="J132" s="40">
        <f t="shared" si="38"/>
        <v>199.11504424778764</v>
      </c>
      <c r="K132" s="40">
        <f t="shared" si="50"/>
        <v>199.11504424778764</v>
      </c>
      <c r="L132" s="121">
        <f t="shared" si="40"/>
        <v>228.98230088495578</v>
      </c>
      <c r="M132" s="121">
        <f t="shared" si="31"/>
        <v>228.98230088495578</v>
      </c>
      <c r="N132" s="121">
        <f t="shared" si="44"/>
        <v>228.98230088495578</v>
      </c>
      <c r="O132" s="121">
        <f t="shared" si="52"/>
        <v>228.98230088495578</v>
      </c>
      <c r="P132" s="121">
        <f t="shared" si="53"/>
        <v>228.98230088495578</v>
      </c>
      <c r="Q132" s="29"/>
      <c r="R132" s="839"/>
      <c r="S132" s="839"/>
      <c r="T132" s="839"/>
      <c r="U132" s="1012"/>
      <c r="V132" s="839"/>
      <c r="W132" s="839"/>
      <c r="X132" s="839"/>
      <c r="Y132" s="839"/>
      <c r="Z132" s="839"/>
      <c r="AA132" s="839"/>
    </row>
    <row r="133" spans="1:27" ht="15.75">
      <c r="A133" s="439">
        <v>13</v>
      </c>
      <c r="B133" s="385" t="s">
        <v>2637</v>
      </c>
      <c r="C133" s="328"/>
      <c r="D133" s="378"/>
      <c r="E133" s="377"/>
      <c r="F133" s="442"/>
      <c r="G133" s="442"/>
      <c r="H133" s="442"/>
      <c r="I133" s="442"/>
      <c r="J133" s="451"/>
      <c r="K133" s="451"/>
      <c r="L133" s="430"/>
      <c r="M133" s="430"/>
      <c r="N133" s="430"/>
      <c r="O133" s="430"/>
      <c r="P133" s="430"/>
      <c r="Q133" s="431"/>
      <c r="R133" s="839"/>
      <c r="S133" s="839"/>
      <c r="T133" s="839"/>
      <c r="U133" s="1012"/>
      <c r="V133" s="839"/>
      <c r="W133" s="839"/>
      <c r="X133" s="839"/>
      <c r="Y133" s="839"/>
      <c r="Z133" s="839"/>
      <c r="AA133" s="839"/>
    </row>
    <row r="134" spans="1:27" ht="19.5">
      <c r="A134" s="450">
        <f>A133+0.01</f>
        <v>13.01</v>
      </c>
      <c r="B134" s="24" t="s">
        <v>172</v>
      </c>
      <c r="C134" s="25" t="s">
        <v>149</v>
      </c>
      <c r="D134" s="26">
        <v>340</v>
      </c>
      <c r="E134" s="27">
        <v>478</v>
      </c>
      <c r="F134" s="28">
        <v>478</v>
      </c>
      <c r="G134" s="28">
        <v>478</v>
      </c>
      <c r="H134" s="28">
        <v>168.14159292035399</v>
      </c>
      <c r="I134" s="28">
        <f t="shared" ref="I134:I140" si="54">H134</f>
        <v>168.14159292035399</v>
      </c>
      <c r="J134" s="40">
        <f t="shared" si="38"/>
        <v>168.14159292035399</v>
      </c>
      <c r="K134" s="40">
        <f t="shared" si="50"/>
        <v>168.14159292035399</v>
      </c>
      <c r="L134" s="121">
        <f t="shared" si="40"/>
        <v>193.36283185840708</v>
      </c>
      <c r="M134" s="121">
        <f t="shared" si="31"/>
        <v>193.36283185840708</v>
      </c>
      <c r="N134" s="121">
        <f t="shared" si="44"/>
        <v>193.36283185840708</v>
      </c>
      <c r="O134" s="121">
        <f>N134</f>
        <v>193.36283185840708</v>
      </c>
      <c r="P134" s="121">
        <f>O134</f>
        <v>193.36283185840708</v>
      </c>
      <c r="Q134" s="29"/>
      <c r="R134" s="839"/>
      <c r="S134" s="839"/>
      <c r="T134" s="839"/>
      <c r="U134" s="1012"/>
      <c r="V134" s="839"/>
      <c r="W134" s="839"/>
      <c r="X134" s="839"/>
      <c r="Y134" s="839"/>
      <c r="Z134" s="839"/>
      <c r="AA134" s="839"/>
    </row>
    <row r="135" spans="1:27" ht="19.5">
      <c r="A135" s="450">
        <f t="shared" ref="A135:A138" si="55">A134+0.01</f>
        <v>13.02</v>
      </c>
      <c r="B135" s="24" t="s">
        <v>173</v>
      </c>
      <c r="C135" s="25" t="s">
        <v>149</v>
      </c>
      <c r="D135" s="26">
        <v>340</v>
      </c>
      <c r="E135" s="27">
        <v>478</v>
      </c>
      <c r="F135" s="28">
        <v>478</v>
      </c>
      <c r="G135" s="28">
        <v>478</v>
      </c>
      <c r="H135" s="28">
        <v>168.14159292035399</v>
      </c>
      <c r="I135" s="28">
        <f t="shared" si="54"/>
        <v>168.14159292035399</v>
      </c>
      <c r="J135" s="40">
        <f t="shared" si="38"/>
        <v>168.14159292035399</v>
      </c>
      <c r="K135" s="40">
        <f t="shared" si="50"/>
        <v>168.14159292035399</v>
      </c>
      <c r="L135" s="121">
        <f t="shared" si="40"/>
        <v>193.36283185840708</v>
      </c>
      <c r="M135" s="121">
        <f t="shared" si="31"/>
        <v>193.36283185840708</v>
      </c>
      <c r="N135" s="121">
        <f t="shared" si="44"/>
        <v>193.36283185840708</v>
      </c>
      <c r="O135" s="121">
        <f t="shared" ref="O135:O138" si="56">N135</f>
        <v>193.36283185840708</v>
      </c>
      <c r="P135" s="121">
        <f t="shared" ref="P135:P138" si="57">O135</f>
        <v>193.36283185840708</v>
      </c>
      <c r="Q135" s="29"/>
      <c r="R135" s="839"/>
      <c r="S135" s="839"/>
      <c r="T135" s="839"/>
      <c r="U135" s="1012"/>
      <c r="V135" s="839"/>
      <c r="W135" s="839"/>
      <c r="X135" s="839"/>
      <c r="Y135" s="839"/>
      <c r="Z135" s="839"/>
      <c r="AA135" s="839"/>
    </row>
    <row r="136" spans="1:27" ht="19.5">
      <c r="A136" s="450">
        <f t="shared" si="55"/>
        <v>13.03</v>
      </c>
      <c r="B136" s="24" t="s">
        <v>175</v>
      </c>
      <c r="C136" s="25" t="s">
        <v>149</v>
      </c>
      <c r="D136" s="26">
        <v>275</v>
      </c>
      <c r="E136" s="27">
        <v>372</v>
      </c>
      <c r="F136" s="28">
        <v>372</v>
      </c>
      <c r="G136" s="28">
        <v>372</v>
      </c>
      <c r="H136" s="28">
        <v>168.14159292035399</v>
      </c>
      <c r="I136" s="28">
        <f t="shared" si="54"/>
        <v>168.14159292035399</v>
      </c>
      <c r="J136" s="40">
        <f t="shared" si="38"/>
        <v>168.14159292035399</v>
      </c>
      <c r="K136" s="40">
        <f t="shared" si="50"/>
        <v>168.14159292035399</v>
      </c>
      <c r="L136" s="121">
        <f t="shared" si="40"/>
        <v>193.36283185840708</v>
      </c>
      <c r="M136" s="121">
        <f t="shared" si="31"/>
        <v>193.36283185840708</v>
      </c>
      <c r="N136" s="121">
        <f t="shared" si="44"/>
        <v>193.36283185840708</v>
      </c>
      <c r="O136" s="121">
        <f t="shared" si="56"/>
        <v>193.36283185840708</v>
      </c>
      <c r="P136" s="121">
        <f t="shared" si="57"/>
        <v>193.36283185840708</v>
      </c>
      <c r="Q136" s="29"/>
      <c r="R136" s="839"/>
      <c r="S136" s="839"/>
      <c r="T136" s="839"/>
      <c r="U136" s="1012"/>
      <c r="V136" s="839"/>
      <c r="W136" s="839"/>
      <c r="X136" s="839"/>
      <c r="Y136" s="839"/>
      <c r="Z136" s="839"/>
      <c r="AA136" s="839"/>
    </row>
    <row r="137" spans="1:27" ht="19.5">
      <c r="A137" s="450">
        <f t="shared" si="55"/>
        <v>13.04</v>
      </c>
      <c r="B137" s="24" t="s">
        <v>176</v>
      </c>
      <c r="C137" s="25" t="s">
        <v>149</v>
      </c>
      <c r="D137" s="26"/>
      <c r="E137" s="27"/>
      <c r="F137" s="28"/>
      <c r="G137" s="28"/>
      <c r="H137" s="28">
        <v>168.14159292035399</v>
      </c>
      <c r="I137" s="28">
        <f t="shared" si="54"/>
        <v>168.14159292035399</v>
      </c>
      <c r="J137" s="40">
        <f t="shared" si="38"/>
        <v>168.14159292035399</v>
      </c>
      <c r="K137" s="40">
        <f t="shared" si="50"/>
        <v>168.14159292035399</v>
      </c>
      <c r="L137" s="121">
        <f t="shared" si="40"/>
        <v>193.36283185840708</v>
      </c>
      <c r="M137" s="121">
        <f t="shared" si="31"/>
        <v>193.36283185840708</v>
      </c>
      <c r="N137" s="121">
        <f t="shared" si="44"/>
        <v>193.36283185840708</v>
      </c>
      <c r="O137" s="121">
        <f t="shared" si="56"/>
        <v>193.36283185840708</v>
      </c>
      <c r="P137" s="121">
        <f t="shared" si="57"/>
        <v>193.36283185840708</v>
      </c>
      <c r="Q137" s="29"/>
      <c r="R137" s="839"/>
      <c r="S137" s="839"/>
      <c r="T137" s="839"/>
      <c r="U137" s="1012"/>
      <c r="V137" s="839"/>
      <c r="W137" s="839"/>
      <c r="X137" s="839"/>
      <c r="Y137" s="839"/>
      <c r="Z137" s="839"/>
      <c r="AA137" s="839"/>
    </row>
    <row r="138" spans="1:27" ht="19.5">
      <c r="A138" s="450">
        <f t="shared" si="55"/>
        <v>13.049999999999999</v>
      </c>
      <c r="B138" s="24" t="s">
        <v>174</v>
      </c>
      <c r="C138" s="25" t="s">
        <v>149</v>
      </c>
      <c r="D138" s="26"/>
      <c r="E138" s="27"/>
      <c r="F138" s="28"/>
      <c r="G138" s="28"/>
      <c r="H138" s="28">
        <v>168.14159292035399</v>
      </c>
      <c r="I138" s="28">
        <f t="shared" si="54"/>
        <v>168.14159292035399</v>
      </c>
      <c r="J138" s="40">
        <f t="shared" si="38"/>
        <v>168.14159292035399</v>
      </c>
      <c r="K138" s="40">
        <f t="shared" si="50"/>
        <v>168.14159292035399</v>
      </c>
      <c r="L138" s="121">
        <f t="shared" si="40"/>
        <v>193.36283185840708</v>
      </c>
      <c r="M138" s="121">
        <f t="shared" si="31"/>
        <v>193.36283185840708</v>
      </c>
      <c r="N138" s="121">
        <f t="shared" si="44"/>
        <v>193.36283185840708</v>
      </c>
      <c r="O138" s="121">
        <f t="shared" si="56"/>
        <v>193.36283185840708</v>
      </c>
      <c r="P138" s="121">
        <f t="shared" si="57"/>
        <v>193.36283185840708</v>
      </c>
      <c r="Q138" s="29"/>
      <c r="R138" s="839"/>
      <c r="S138" s="839"/>
      <c r="T138" s="839"/>
      <c r="U138" s="1012"/>
      <c r="V138" s="839"/>
      <c r="W138" s="839"/>
      <c r="X138" s="839"/>
      <c r="Y138" s="839"/>
      <c r="Z138" s="839"/>
      <c r="AA138" s="839"/>
    </row>
    <row r="139" spans="1:27" ht="16.5">
      <c r="A139" s="786">
        <v>14</v>
      </c>
      <c r="B139" s="788" t="s">
        <v>177</v>
      </c>
      <c r="C139" s="606" t="s">
        <v>149</v>
      </c>
      <c r="D139" s="607">
        <v>340</v>
      </c>
      <c r="E139" s="603">
        <v>478</v>
      </c>
      <c r="F139" s="780">
        <v>478</v>
      </c>
      <c r="G139" s="780">
        <v>478</v>
      </c>
      <c r="H139" s="780">
        <v>125.6637168141593</v>
      </c>
      <c r="I139" s="780">
        <f t="shared" si="54"/>
        <v>125.6637168141593</v>
      </c>
      <c r="J139" s="781">
        <f t="shared" si="38"/>
        <v>125.6637168141593</v>
      </c>
      <c r="K139" s="781">
        <f t="shared" si="50"/>
        <v>125.6637168141593</v>
      </c>
      <c r="L139" s="782">
        <f t="shared" si="40"/>
        <v>144.51327433628319</v>
      </c>
      <c r="M139" s="782">
        <f t="shared" si="31"/>
        <v>144.51327433628319</v>
      </c>
      <c r="N139" s="782">
        <f t="shared" si="44"/>
        <v>144.51327433628319</v>
      </c>
      <c r="O139" s="782">
        <f>N139</f>
        <v>144.51327433628319</v>
      </c>
      <c r="P139" s="782">
        <f>O139</f>
        <v>144.51327433628319</v>
      </c>
      <c r="Q139" s="783"/>
      <c r="R139" s="839"/>
      <c r="S139" s="839"/>
      <c r="T139" s="839"/>
      <c r="U139" s="1012"/>
      <c r="V139" s="839"/>
      <c r="W139" s="839"/>
      <c r="X139" s="839"/>
      <c r="Y139" s="839"/>
      <c r="Z139" s="839"/>
      <c r="AA139" s="839"/>
    </row>
    <row r="140" spans="1:27" ht="16.5">
      <c r="A140" s="786">
        <v>15</v>
      </c>
      <c r="B140" s="788" t="s">
        <v>178</v>
      </c>
      <c r="C140" s="606" t="s">
        <v>154</v>
      </c>
      <c r="D140" s="607">
        <v>340</v>
      </c>
      <c r="E140" s="603">
        <v>478</v>
      </c>
      <c r="F140" s="780">
        <v>478</v>
      </c>
      <c r="G140" s="780">
        <v>478</v>
      </c>
      <c r="H140" s="780">
        <v>125.6637168141593</v>
      </c>
      <c r="I140" s="780">
        <f t="shared" si="54"/>
        <v>125.6637168141593</v>
      </c>
      <c r="J140" s="781">
        <f t="shared" si="38"/>
        <v>125.6637168141593</v>
      </c>
      <c r="K140" s="781">
        <f t="shared" si="50"/>
        <v>125.6637168141593</v>
      </c>
      <c r="L140" s="782">
        <f t="shared" si="40"/>
        <v>144.51327433628319</v>
      </c>
      <c r="M140" s="782">
        <f t="shared" si="31"/>
        <v>144.51327433628319</v>
      </c>
      <c r="N140" s="782">
        <f t="shared" si="44"/>
        <v>144.51327433628319</v>
      </c>
      <c r="O140" s="782">
        <f>N140</f>
        <v>144.51327433628319</v>
      </c>
      <c r="P140" s="782">
        <f>O140</f>
        <v>144.51327433628319</v>
      </c>
      <c r="Q140" s="783"/>
      <c r="R140" s="839"/>
      <c r="S140" s="839"/>
      <c r="T140" s="839"/>
      <c r="U140" s="1012"/>
      <c r="V140" s="839"/>
      <c r="W140" s="839"/>
      <c r="X140" s="839"/>
      <c r="Y140" s="839"/>
      <c r="Z140" s="839"/>
      <c r="AA140" s="839"/>
    </row>
    <row r="141" spans="1:27" ht="15.75">
      <c r="A141" s="786">
        <v>16</v>
      </c>
      <c r="B141" s="605" t="s">
        <v>179</v>
      </c>
      <c r="C141" s="610"/>
      <c r="D141" s="621"/>
      <c r="E141" s="622"/>
      <c r="F141" s="789"/>
      <c r="G141" s="789"/>
      <c r="H141" s="789"/>
      <c r="I141" s="789"/>
      <c r="J141" s="781"/>
      <c r="K141" s="781"/>
      <c r="L141" s="782"/>
      <c r="M141" s="782"/>
      <c r="N141" s="782"/>
      <c r="O141" s="782"/>
      <c r="P141" s="782"/>
      <c r="Q141" s="783"/>
      <c r="R141" s="839"/>
      <c r="S141" s="839"/>
      <c r="T141" s="839"/>
      <c r="U141" s="1012"/>
      <c r="V141" s="839"/>
      <c r="W141" s="839"/>
      <c r="X141" s="839"/>
      <c r="Y141" s="839"/>
      <c r="Z141" s="839"/>
      <c r="AA141" s="839"/>
    </row>
    <row r="142" spans="1:27" ht="19.5">
      <c r="A142" s="450">
        <f>A141+0.01</f>
        <v>16.010000000000002</v>
      </c>
      <c r="B142" s="24" t="s">
        <v>180</v>
      </c>
      <c r="C142" s="25" t="s">
        <v>110</v>
      </c>
      <c r="D142" s="26">
        <v>340</v>
      </c>
      <c r="E142" s="27">
        <v>478</v>
      </c>
      <c r="F142" s="28">
        <v>478</v>
      </c>
      <c r="G142" s="28">
        <v>478</v>
      </c>
      <c r="H142" s="28">
        <v>611</v>
      </c>
      <c r="I142" s="28">
        <f>H142</f>
        <v>611</v>
      </c>
      <c r="J142" s="40">
        <f t="shared" si="38"/>
        <v>611</v>
      </c>
      <c r="K142" s="40">
        <f t="shared" si="50"/>
        <v>611</v>
      </c>
      <c r="L142" s="121">
        <f t="shared" si="40"/>
        <v>702.65</v>
      </c>
      <c r="M142" s="121">
        <f t="shared" ref="M142:M146" si="58">L142</f>
        <v>702.65</v>
      </c>
      <c r="N142" s="121">
        <f t="shared" si="44"/>
        <v>702.65</v>
      </c>
      <c r="O142" s="121">
        <f>N142</f>
        <v>702.65</v>
      </c>
      <c r="P142" s="121">
        <f>O142</f>
        <v>702.65</v>
      </c>
      <c r="Q142" s="29"/>
      <c r="R142" s="839"/>
      <c r="S142" s="839"/>
      <c r="T142" s="839"/>
      <c r="U142" s="1012"/>
      <c r="V142" s="839"/>
      <c r="W142" s="839"/>
      <c r="X142" s="839"/>
      <c r="Y142" s="839"/>
      <c r="Z142" s="839"/>
      <c r="AA142" s="839"/>
    </row>
    <row r="143" spans="1:27" ht="19.5">
      <c r="A143" s="450">
        <f t="shared" ref="A143:A145" si="59">A142+0.01</f>
        <v>16.020000000000003</v>
      </c>
      <c r="B143" s="24" t="s">
        <v>181</v>
      </c>
      <c r="C143" s="25" t="s">
        <v>110</v>
      </c>
      <c r="D143" s="26">
        <v>340</v>
      </c>
      <c r="E143" s="27">
        <v>478</v>
      </c>
      <c r="F143" s="28">
        <v>478</v>
      </c>
      <c r="G143" s="28">
        <v>478</v>
      </c>
      <c r="H143" s="28">
        <v>606</v>
      </c>
      <c r="I143" s="28">
        <f>H143</f>
        <v>606</v>
      </c>
      <c r="J143" s="40">
        <f t="shared" si="38"/>
        <v>606</v>
      </c>
      <c r="K143" s="40">
        <f t="shared" si="50"/>
        <v>606</v>
      </c>
      <c r="L143" s="121">
        <f t="shared" si="40"/>
        <v>696.9</v>
      </c>
      <c r="M143" s="121">
        <f t="shared" si="58"/>
        <v>696.9</v>
      </c>
      <c r="N143" s="121">
        <f t="shared" si="44"/>
        <v>696.9</v>
      </c>
      <c r="O143" s="121">
        <f t="shared" ref="O143:O145" si="60">N143</f>
        <v>696.9</v>
      </c>
      <c r="P143" s="121">
        <f t="shared" ref="P143:P145" si="61">O143</f>
        <v>696.9</v>
      </c>
      <c r="Q143" s="29"/>
      <c r="R143" s="839"/>
      <c r="S143" s="839"/>
      <c r="T143" s="839"/>
      <c r="U143" s="1012"/>
      <c r="V143" s="839"/>
      <c r="W143" s="839"/>
      <c r="X143" s="839"/>
      <c r="Y143" s="839"/>
      <c r="Z143" s="839"/>
      <c r="AA143" s="839"/>
    </row>
    <row r="144" spans="1:27" ht="19.5">
      <c r="A144" s="450">
        <f t="shared" si="59"/>
        <v>16.030000000000005</v>
      </c>
      <c r="B144" s="24" t="s">
        <v>182</v>
      </c>
      <c r="C144" s="25" t="s">
        <v>110</v>
      </c>
      <c r="D144" s="26">
        <v>275</v>
      </c>
      <c r="E144" s="27">
        <v>372</v>
      </c>
      <c r="F144" s="28">
        <v>372</v>
      </c>
      <c r="G144" s="28">
        <v>372</v>
      </c>
      <c r="H144" s="28">
        <v>464</v>
      </c>
      <c r="I144" s="28">
        <f>H144</f>
        <v>464</v>
      </c>
      <c r="J144" s="40">
        <f t="shared" si="38"/>
        <v>464</v>
      </c>
      <c r="K144" s="40">
        <f t="shared" si="50"/>
        <v>464</v>
      </c>
      <c r="L144" s="121">
        <f t="shared" si="40"/>
        <v>533.59999999999991</v>
      </c>
      <c r="M144" s="121">
        <f t="shared" si="58"/>
        <v>533.59999999999991</v>
      </c>
      <c r="N144" s="121">
        <f t="shared" si="44"/>
        <v>533.59999999999991</v>
      </c>
      <c r="O144" s="121">
        <f t="shared" si="60"/>
        <v>533.59999999999991</v>
      </c>
      <c r="P144" s="121">
        <f t="shared" si="61"/>
        <v>533.59999999999991</v>
      </c>
      <c r="Q144" s="29"/>
      <c r="R144" s="839"/>
      <c r="S144" s="839"/>
      <c r="T144" s="839"/>
      <c r="U144" s="1012"/>
      <c r="V144" s="839"/>
      <c r="W144" s="839"/>
      <c r="X144" s="839"/>
      <c r="Y144" s="839"/>
      <c r="Z144" s="839"/>
      <c r="AA144" s="839"/>
    </row>
    <row r="145" spans="1:27" ht="19.5">
      <c r="A145" s="450">
        <f t="shared" si="59"/>
        <v>16.040000000000006</v>
      </c>
      <c r="B145" s="24" t="s">
        <v>183</v>
      </c>
      <c r="C145" s="25" t="s">
        <v>110</v>
      </c>
      <c r="D145" s="26">
        <v>205</v>
      </c>
      <c r="E145" s="27">
        <v>285</v>
      </c>
      <c r="F145" s="28">
        <v>285</v>
      </c>
      <c r="G145" s="28">
        <v>285</v>
      </c>
      <c r="H145" s="28">
        <v>367</v>
      </c>
      <c r="I145" s="28">
        <f>H145</f>
        <v>367</v>
      </c>
      <c r="J145" s="40">
        <f t="shared" si="38"/>
        <v>367</v>
      </c>
      <c r="K145" s="40">
        <f t="shared" si="50"/>
        <v>367</v>
      </c>
      <c r="L145" s="121">
        <f t="shared" si="40"/>
        <v>422.04999999999995</v>
      </c>
      <c r="M145" s="121">
        <f t="shared" si="58"/>
        <v>422.04999999999995</v>
      </c>
      <c r="N145" s="121">
        <f t="shared" si="44"/>
        <v>422.04999999999995</v>
      </c>
      <c r="O145" s="121">
        <f t="shared" si="60"/>
        <v>422.04999999999995</v>
      </c>
      <c r="P145" s="121">
        <f t="shared" si="61"/>
        <v>422.04999999999995</v>
      </c>
      <c r="Q145" s="29"/>
      <c r="R145" s="839"/>
      <c r="S145" s="839"/>
      <c r="T145" s="839"/>
      <c r="U145" s="1012"/>
      <c r="V145" s="839"/>
      <c r="W145" s="839"/>
      <c r="X145" s="839"/>
      <c r="Y145" s="839"/>
      <c r="Z145" s="839"/>
      <c r="AA145" s="839"/>
    </row>
    <row r="146" spans="1:27" ht="15.75">
      <c r="A146" s="786">
        <v>17</v>
      </c>
      <c r="B146" s="787" t="s">
        <v>184</v>
      </c>
      <c r="C146" s="777" t="s">
        <v>185</v>
      </c>
      <c r="D146" s="778"/>
      <c r="E146" s="779"/>
      <c r="F146" s="779"/>
      <c r="G146" s="779"/>
      <c r="H146" s="657">
        <v>75</v>
      </c>
      <c r="I146" s="780">
        <f>H146</f>
        <v>75</v>
      </c>
      <c r="J146" s="781">
        <f t="shared" si="38"/>
        <v>75</v>
      </c>
      <c r="K146" s="781">
        <f t="shared" si="50"/>
        <v>75</v>
      </c>
      <c r="L146" s="782">
        <f t="shared" si="40"/>
        <v>86.25</v>
      </c>
      <c r="M146" s="782">
        <f t="shared" si="58"/>
        <v>86.25</v>
      </c>
      <c r="N146" s="782">
        <f t="shared" si="44"/>
        <v>86.25</v>
      </c>
      <c r="O146" s="782">
        <f>N146</f>
        <v>86.25</v>
      </c>
      <c r="P146" s="782">
        <f>O146</f>
        <v>86.25</v>
      </c>
      <c r="Q146" s="783"/>
      <c r="R146" s="839"/>
      <c r="S146" s="839"/>
      <c r="T146" s="839"/>
      <c r="U146" s="1012"/>
      <c r="V146" s="839"/>
      <c r="W146" s="839"/>
      <c r="X146" s="839"/>
      <c r="Y146" s="839"/>
      <c r="Z146" s="839"/>
      <c r="AA146" s="839"/>
    </row>
    <row r="147" spans="1:27" ht="15.75">
      <c r="A147" s="786">
        <v>18</v>
      </c>
      <c r="B147" s="623" t="s">
        <v>2109</v>
      </c>
      <c r="C147" s="784"/>
      <c r="D147" s="784"/>
      <c r="E147" s="785"/>
      <c r="F147" s="785"/>
      <c r="G147" s="785"/>
      <c r="H147" s="785"/>
      <c r="I147" s="785"/>
      <c r="J147" s="785"/>
      <c r="K147" s="785"/>
      <c r="L147" s="785"/>
      <c r="M147" s="782"/>
      <c r="N147" s="782"/>
      <c r="O147" s="782"/>
      <c r="P147" s="782"/>
      <c r="Q147" s="783"/>
      <c r="R147" s="839"/>
      <c r="S147" s="839"/>
      <c r="T147" s="839"/>
      <c r="U147" s="1012"/>
      <c r="V147" s="839"/>
      <c r="W147" s="839"/>
      <c r="X147" s="839"/>
      <c r="Y147" s="839"/>
      <c r="Z147" s="839"/>
      <c r="AA147" s="839"/>
    </row>
    <row r="148" spans="1:27" ht="19.5">
      <c r="A148" s="450">
        <f>A147+0.01</f>
        <v>18.010000000000002</v>
      </c>
      <c r="B148" s="72" t="s">
        <v>1722</v>
      </c>
      <c r="C148" s="25" t="s">
        <v>149</v>
      </c>
      <c r="D148" s="191"/>
      <c r="E148" s="192"/>
      <c r="F148" s="192"/>
      <c r="G148" s="192"/>
      <c r="H148" s="192"/>
      <c r="I148" s="192"/>
      <c r="J148" s="192"/>
      <c r="K148" s="192"/>
      <c r="L148" s="192"/>
      <c r="M148" s="121">
        <v>115</v>
      </c>
      <c r="N148" s="121">
        <f t="shared" si="44"/>
        <v>115</v>
      </c>
      <c r="O148" s="121">
        <f>N148</f>
        <v>115</v>
      </c>
      <c r="P148" s="121">
        <f>O148</f>
        <v>115</v>
      </c>
      <c r="Q148" s="29"/>
      <c r="R148" s="839"/>
      <c r="S148" s="839"/>
      <c r="T148" s="839"/>
      <c r="U148" s="1012"/>
      <c r="V148" s="839"/>
      <c r="W148" s="839"/>
      <c r="X148" s="839"/>
      <c r="Y148" s="839"/>
      <c r="Z148" s="839"/>
      <c r="AA148" s="839"/>
    </row>
    <row r="149" spans="1:27" ht="19.5">
      <c r="A149" s="450">
        <f t="shared" ref="A149:A155" si="62">A148+0.01</f>
        <v>18.020000000000003</v>
      </c>
      <c r="B149" s="72" t="s">
        <v>1723</v>
      </c>
      <c r="C149" s="25" t="s">
        <v>149</v>
      </c>
      <c r="D149" s="191"/>
      <c r="E149" s="192"/>
      <c r="F149" s="192"/>
      <c r="G149" s="192"/>
      <c r="H149" s="192"/>
      <c r="I149" s="192"/>
      <c r="J149" s="192"/>
      <c r="K149" s="192"/>
      <c r="L149" s="192"/>
      <c r="M149" s="121">
        <v>127</v>
      </c>
      <c r="N149" s="121">
        <f t="shared" si="44"/>
        <v>127</v>
      </c>
      <c r="O149" s="121">
        <f t="shared" ref="O149:O155" si="63">N149</f>
        <v>127</v>
      </c>
      <c r="P149" s="121">
        <f t="shared" ref="P149:P155" si="64">O149</f>
        <v>127</v>
      </c>
      <c r="Q149" s="29"/>
      <c r="R149" s="839"/>
      <c r="S149" s="839"/>
      <c r="T149" s="839"/>
      <c r="U149" s="1012"/>
      <c r="V149" s="839"/>
      <c r="W149" s="839"/>
      <c r="X149" s="839"/>
      <c r="Y149" s="839"/>
      <c r="Z149" s="839"/>
      <c r="AA149" s="839"/>
    </row>
    <row r="150" spans="1:27" ht="19.5">
      <c r="A150" s="450">
        <f t="shared" si="62"/>
        <v>18.030000000000005</v>
      </c>
      <c r="B150" s="72" t="s">
        <v>1724</v>
      </c>
      <c r="C150" s="25" t="s">
        <v>149</v>
      </c>
      <c r="D150" s="191"/>
      <c r="E150" s="192"/>
      <c r="F150" s="192"/>
      <c r="G150" s="192"/>
      <c r="H150" s="192"/>
      <c r="I150" s="192"/>
      <c r="J150" s="192"/>
      <c r="K150" s="192"/>
      <c r="L150" s="192"/>
      <c r="M150" s="121">
        <v>127</v>
      </c>
      <c r="N150" s="121">
        <f t="shared" si="44"/>
        <v>127</v>
      </c>
      <c r="O150" s="121">
        <f t="shared" si="63"/>
        <v>127</v>
      </c>
      <c r="P150" s="121">
        <f t="shared" si="64"/>
        <v>127</v>
      </c>
      <c r="Q150" s="29"/>
      <c r="R150" s="839"/>
      <c r="S150" s="839"/>
      <c r="T150" s="839"/>
      <c r="U150" s="1012"/>
      <c r="V150" s="839"/>
      <c r="W150" s="839"/>
      <c r="X150" s="839"/>
      <c r="Y150" s="839"/>
      <c r="Z150" s="839"/>
      <c r="AA150" s="839"/>
    </row>
    <row r="151" spans="1:27" ht="19.5">
      <c r="A151" s="450">
        <f t="shared" si="62"/>
        <v>18.040000000000006</v>
      </c>
      <c r="B151" s="72" t="s">
        <v>1725</v>
      </c>
      <c r="C151" s="25" t="s">
        <v>149</v>
      </c>
      <c r="D151" s="191"/>
      <c r="E151" s="192"/>
      <c r="F151" s="192"/>
      <c r="G151" s="192"/>
      <c r="H151" s="192"/>
      <c r="I151" s="192"/>
      <c r="J151" s="192"/>
      <c r="K151" s="192"/>
      <c r="L151" s="192"/>
      <c r="M151" s="121">
        <v>146</v>
      </c>
      <c r="N151" s="121">
        <f t="shared" si="44"/>
        <v>146</v>
      </c>
      <c r="O151" s="121">
        <f t="shared" si="63"/>
        <v>146</v>
      </c>
      <c r="P151" s="121">
        <f t="shared" si="64"/>
        <v>146</v>
      </c>
      <c r="Q151" s="29"/>
      <c r="R151" s="839"/>
      <c r="S151" s="839"/>
      <c r="T151" s="839"/>
      <c r="U151" s="1012"/>
      <c r="V151" s="839"/>
      <c r="W151" s="839"/>
      <c r="X151" s="839"/>
      <c r="Y151" s="839"/>
      <c r="Z151" s="839"/>
      <c r="AA151" s="839"/>
    </row>
    <row r="152" spans="1:27" ht="19.5">
      <c r="A152" s="450">
        <f t="shared" si="62"/>
        <v>18.050000000000008</v>
      </c>
      <c r="B152" s="72" t="s">
        <v>1726</v>
      </c>
      <c r="C152" s="25" t="s">
        <v>149</v>
      </c>
      <c r="D152" s="191"/>
      <c r="E152" s="192"/>
      <c r="F152" s="192"/>
      <c r="G152" s="192"/>
      <c r="H152" s="192"/>
      <c r="I152" s="192"/>
      <c r="J152" s="192"/>
      <c r="K152" s="192"/>
      <c r="L152" s="192"/>
      <c r="M152" s="121">
        <v>216</v>
      </c>
      <c r="N152" s="121">
        <f t="shared" si="44"/>
        <v>216</v>
      </c>
      <c r="O152" s="121">
        <f t="shared" si="63"/>
        <v>216</v>
      </c>
      <c r="P152" s="121">
        <f t="shared" si="64"/>
        <v>216</v>
      </c>
      <c r="Q152" s="29"/>
      <c r="R152" s="839"/>
      <c r="S152" s="839"/>
      <c r="T152" s="839"/>
      <c r="U152" s="1012"/>
      <c r="V152" s="839"/>
      <c r="W152" s="839"/>
      <c r="X152" s="839"/>
      <c r="Y152" s="839"/>
      <c r="Z152" s="839"/>
      <c r="AA152" s="839"/>
    </row>
    <row r="153" spans="1:27" ht="19.5">
      <c r="A153" s="450">
        <f t="shared" si="62"/>
        <v>18.060000000000009</v>
      </c>
      <c r="B153" s="72" t="s">
        <v>1727</v>
      </c>
      <c r="C153" s="25" t="s">
        <v>149</v>
      </c>
      <c r="D153" s="191"/>
      <c r="E153" s="192"/>
      <c r="F153" s="192"/>
      <c r="G153" s="192"/>
      <c r="H153" s="192"/>
      <c r="I153" s="192"/>
      <c r="J153" s="192"/>
      <c r="K153" s="192"/>
      <c r="L153" s="192"/>
      <c r="M153" s="121">
        <v>255</v>
      </c>
      <c r="N153" s="121">
        <f t="shared" si="44"/>
        <v>255</v>
      </c>
      <c r="O153" s="121">
        <f t="shared" si="63"/>
        <v>255</v>
      </c>
      <c r="P153" s="121">
        <f t="shared" si="64"/>
        <v>255</v>
      </c>
      <c r="Q153" s="29"/>
      <c r="R153" s="839"/>
      <c r="S153" s="839"/>
      <c r="T153" s="839"/>
      <c r="U153" s="1012"/>
      <c r="V153" s="839"/>
      <c r="W153" s="839"/>
      <c r="X153" s="839"/>
      <c r="Y153" s="839"/>
      <c r="Z153" s="839"/>
      <c r="AA153" s="839"/>
    </row>
    <row r="154" spans="1:27" ht="19.5">
      <c r="A154" s="450">
        <f t="shared" si="62"/>
        <v>18.070000000000011</v>
      </c>
      <c r="B154" s="72" t="s">
        <v>1728</v>
      </c>
      <c r="C154" s="25" t="s">
        <v>149</v>
      </c>
      <c r="D154" s="191"/>
      <c r="E154" s="192"/>
      <c r="F154" s="192"/>
      <c r="G154" s="192"/>
      <c r="H154" s="192"/>
      <c r="I154" s="192"/>
      <c r="J154" s="192"/>
      <c r="K154" s="192"/>
      <c r="L154" s="192"/>
      <c r="M154" s="121">
        <v>293</v>
      </c>
      <c r="N154" s="121">
        <f t="shared" si="44"/>
        <v>293</v>
      </c>
      <c r="O154" s="121">
        <f t="shared" si="63"/>
        <v>293</v>
      </c>
      <c r="P154" s="121">
        <f t="shared" si="64"/>
        <v>293</v>
      </c>
      <c r="Q154" s="29"/>
      <c r="R154" s="839"/>
      <c r="S154" s="839"/>
      <c r="T154" s="839"/>
      <c r="U154" s="1012"/>
      <c r="V154" s="839"/>
      <c r="W154" s="839"/>
      <c r="X154" s="839"/>
      <c r="Y154" s="839"/>
      <c r="Z154" s="839"/>
      <c r="AA154" s="839"/>
    </row>
    <row r="155" spans="1:27" ht="19.5">
      <c r="A155" s="450">
        <f t="shared" si="62"/>
        <v>18.080000000000013</v>
      </c>
      <c r="B155" s="72" t="s">
        <v>1729</v>
      </c>
      <c r="C155" s="25" t="s">
        <v>149</v>
      </c>
      <c r="D155" s="191"/>
      <c r="E155" s="192"/>
      <c r="F155" s="192"/>
      <c r="G155" s="192"/>
      <c r="H155" s="192"/>
      <c r="I155" s="192"/>
      <c r="J155" s="192"/>
      <c r="K155" s="192"/>
      <c r="L155" s="192"/>
      <c r="M155" s="121">
        <v>382</v>
      </c>
      <c r="N155" s="121">
        <f t="shared" si="44"/>
        <v>382</v>
      </c>
      <c r="O155" s="121">
        <f t="shared" si="63"/>
        <v>382</v>
      </c>
      <c r="P155" s="121">
        <f t="shared" si="64"/>
        <v>382</v>
      </c>
      <c r="Q155" s="29"/>
      <c r="R155" s="839"/>
      <c r="S155" s="839"/>
      <c r="T155" s="839"/>
      <c r="U155" s="1012"/>
      <c r="V155" s="839"/>
      <c r="W155" s="839"/>
      <c r="X155" s="839"/>
      <c r="Y155" s="839"/>
      <c r="Z155" s="839"/>
      <c r="AA155" s="839"/>
    </row>
    <row r="156" spans="1:27" ht="32.25">
      <c r="A156" s="434">
        <v>19</v>
      </c>
      <c r="B156" s="1387" t="s">
        <v>2793</v>
      </c>
      <c r="C156" s="479" t="s">
        <v>1771</v>
      </c>
      <c r="D156" s="396"/>
      <c r="E156" s="397"/>
      <c r="F156" s="397"/>
      <c r="G156" s="397"/>
      <c r="H156" s="397"/>
      <c r="I156" s="397"/>
      <c r="J156" s="397"/>
      <c r="K156" s="397"/>
      <c r="L156" s="397"/>
      <c r="M156" s="430">
        <v>67</v>
      </c>
      <c r="N156" s="430">
        <f t="shared" si="44"/>
        <v>67</v>
      </c>
      <c r="O156" s="430">
        <f>N156</f>
        <v>67</v>
      </c>
      <c r="P156" s="430">
        <f>O156</f>
        <v>67</v>
      </c>
      <c r="Q156" s="431"/>
      <c r="R156" s="839"/>
      <c r="S156" s="839"/>
      <c r="T156" s="839"/>
      <c r="U156" s="1012"/>
      <c r="V156" s="839"/>
      <c r="W156" s="839"/>
      <c r="X156" s="839"/>
      <c r="Y156" s="839"/>
      <c r="Z156" s="839"/>
      <c r="AA156" s="839"/>
    </row>
    <row r="157" spans="1:27" ht="20.25" thickBot="1">
      <c r="A157" s="727">
        <v>20</v>
      </c>
      <c r="B157" s="1388" t="s">
        <v>2111</v>
      </c>
      <c r="C157" s="728" t="s">
        <v>2110</v>
      </c>
      <c r="D157" s="729"/>
      <c r="E157" s="730"/>
      <c r="F157" s="730"/>
      <c r="G157" s="730"/>
      <c r="H157" s="730"/>
      <c r="I157" s="730"/>
      <c r="J157" s="730"/>
      <c r="K157" s="730"/>
      <c r="L157" s="730"/>
      <c r="M157" s="731">
        <v>7</v>
      </c>
      <c r="N157" s="731">
        <f t="shared" si="44"/>
        <v>7</v>
      </c>
      <c r="O157" s="732">
        <f>N157</f>
        <v>7</v>
      </c>
      <c r="P157" s="430">
        <f>O157</f>
        <v>7</v>
      </c>
      <c r="Q157" s="733"/>
      <c r="R157" s="839"/>
      <c r="S157" s="839"/>
      <c r="T157" s="839"/>
      <c r="U157" s="1012"/>
      <c r="V157" s="839"/>
      <c r="W157" s="839"/>
      <c r="X157" s="839"/>
      <c r="Y157" s="839"/>
      <c r="Z157" s="839"/>
      <c r="AA157" s="839"/>
    </row>
    <row r="158" spans="1:27">
      <c r="R158" s="839"/>
      <c r="S158" s="839"/>
      <c r="T158" s="839"/>
      <c r="U158" s="839"/>
      <c r="V158" s="839"/>
      <c r="W158" s="839"/>
      <c r="X158" s="839"/>
      <c r="Y158" s="839"/>
      <c r="Z158" s="839"/>
      <c r="AA158" s="839"/>
    </row>
  </sheetData>
  <mergeCells count="1">
    <mergeCell ref="A1:Q1"/>
  </mergeCells>
  <phoneticPr fontId="105" type="noConversion"/>
  <printOptions horizontalCentered="1"/>
  <pageMargins left="1.24" right="0.19" top="1.03" bottom="0.73" header="0.5" footer="0.56999999999999995"/>
  <pageSetup paperSize="9" scale="78"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rowBreaks count="1" manualBreakCount="1">
    <brk id="103"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AB137"/>
  <sheetViews>
    <sheetView tabSelected="1" view="pageLayout" topLeftCell="A43" zoomScaleNormal="100" zoomScaleSheetLayoutView="145" workbookViewId="0">
      <selection activeCell="D24" sqref="D24"/>
    </sheetView>
  </sheetViews>
  <sheetFormatPr defaultColWidth="9.28515625" defaultRowHeight="15"/>
  <cols>
    <col min="1" max="1" width="6.5703125" style="60" customWidth="1"/>
    <col min="2" max="2" width="45" style="61" customWidth="1"/>
    <col min="3" max="3" width="7.42578125" style="60" customWidth="1"/>
    <col min="4" max="4" width="4.42578125" style="60" hidden="1" customWidth="1"/>
    <col min="5" max="5" width="9.7109375" style="62" hidden="1" customWidth="1"/>
    <col min="6" max="6" width="10.28515625" style="62" hidden="1" customWidth="1"/>
    <col min="7" max="7" width="4.42578125" style="62" hidden="1" customWidth="1"/>
    <col min="8" max="8" width="12.28515625" style="62" hidden="1" customWidth="1"/>
    <col min="9" max="9" width="12.5703125" style="62" hidden="1" customWidth="1"/>
    <col min="10" max="14" width="12" style="62" hidden="1" customWidth="1"/>
    <col min="15" max="16" width="12" style="62" customWidth="1"/>
    <col min="17" max="17" width="11.7109375" style="62" customWidth="1"/>
    <col min="18" max="18" width="7.7109375" style="13" customWidth="1"/>
    <col min="19" max="19" width="9.85546875" style="13" bestFit="1" customWidth="1"/>
    <col min="20" max="21" width="10.42578125" style="13" customWidth="1"/>
    <col min="22" max="23" width="12.42578125" style="13" customWidth="1"/>
    <col min="24" max="24" width="10.140625" style="13" customWidth="1"/>
    <col min="25" max="25" width="10.85546875" style="13" customWidth="1"/>
    <col min="26" max="16384" width="9.28515625" style="13"/>
  </cols>
  <sheetData>
    <row r="1" spans="1:28" ht="28.5">
      <c r="A1" s="1612" t="s">
        <v>1765</v>
      </c>
      <c r="B1" s="1613"/>
      <c r="C1" s="1613"/>
      <c r="D1" s="1613"/>
      <c r="E1" s="1613"/>
      <c r="F1" s="1613"/>
      <c r="G1" s="1613"/>
      <c r="H1" s="1613"/>
      <c r="I1" s="1613"/>
      <c r="J1" s="1613"/>
      <c r="K1" s="1613"/>
      <c r="L1" s="1613"/>
      <c r="M1" s="1613"/>
      <c r="N1" s="1613"/>
      <c r="O1" s="1614"/>
      <c r="P1" s="1614"/>
      <c r="Q1" s="1614"/>
      <c r="R1" s="1615"/>
    </row>
    <row r="2" spans="1:28" ht="58.9" customHeight="1">
      <c r="A2" s="1284" t="s">
        <v>0</v>
      </c>
      <c r="B2" s="1285" t="s">
        <v>51</v>
      </c>
      <c r="C2" s="1285" t="s">
        <v>8</v>
      </c>
      <c r="D2" s="1286" t="s">
        <v>52</v>
      </c>
      <c r="E2" s="1287" t="s">
        <v>53</v>
      </c>
      <c r="F2" s="1287" t="s">
        <v>54</v>
      </c>
      <c r="G2" s="1287" t="s">
        <v>55</v>
      </c>
      <c r="H2" s="1288" t="s">
        <v>1384</v>
      </c>
      <c r="I2" s="1288" t="s">
        <v>1416</v>
      </c>
      <c r="J2" s="1288" t="s">
        <v>1417</v>
      </c>
      <c r="K2" s="1288" t="s">
        <v>1428</v>
      </c>
      <c r="L2" s="1288" t="s">
        <v>1432</v>
      </c>
      <c r="M2" s="1288" t="s">
        <v>1463</v>
      </c>
      <c r="N2" s="1289" t="s">
        <v>1537</v>
      </c>
      <c r="O2" s="1290" t="s">
        <v>2191</v>
      </c>
      <c r="P2" s="1290" t="s">
        <v>2192</v>
      </c>
      <c r="Q2" s="1290" t="str">
        <f>Falamjanya!P2</f>
        <v>आ.व. २०८३/०८४ को दररेट</v>
      </c>
      <c r="R2" s="1291" t="s">
        <v>9</v>
      </c>
      <c r="S2" s="1617" t="s">
        <v>2341</v>
      </c>
      <c r="T2" s="1618"/>
      <c r="U2" s="1609" t="s">
        <v>2342</v>
      </c>
      <c r="V2" s="1609"/>
      <c r="W2" s="1265" t="s">
        <v>2343</v>
      </c>
      <c r="X2" s="1265" t="s">
        <v>2322</v>
      </c>
      <c r="Y2" s="1265" t="s">
        <v>2357</v>
      </c>
      <c r="Z2" s="1265" t="s">
        <v>2355</v>
      </c>
      <c r="AA2" s="1265" t="s">
        <v>2356</v>
      </c>
    </row>
    <row r="3" spans="1:28" s="243" customFormat="1" ht="19.5">
      <c r="A3" s="1292">
        <v>1</v>
      </c>
      <c r="B3" s="458" t="s">
        <v>1816</v>
      </c>
      <c r="C3" s="466"/>
      <c r="D3" s="467"/>
      <c r="E3" s="468"/>
      <c r="F3" s="468"/>
      <c r="G3" s="468"/>
      <c r="H3" s="469"/>
      <c r="I3" s="469"/>
      <c r="J3" s="469"/>
      <c r="K3" s="469"/>
      <c r="L3" s="469"/>
      <c r="M3" s="469"/>
      <c r="N3" s="469"/>
      <c r="O3" s="469"/>
      <c r="P3" s="470"/>
      <c r="Q3" s="470"/>
      <c r="R3" s="466"/>
      <c r="S3" s="1281" t="s">
        <v>2611</v>
      </c>
      <c r="T3" s="1264" t="s">
        <v>2612</v>
      </c>
      <c r="U3" s="1264" t="s">
        <v>2611</v>
      </c>
      <c r="V3" s="1264" t="s">
        <v>2612</v>
      </c>
      <c r="W3" s="882"/>
      <c r="X3" s="882"/>
      <c r="Y3" s="882"/>
      <c r="Z3" s="882"/>
      <c r="AA3" s="882"/>
    </row>
    <row r="4" spans="1:28" ht="18.600000000000001" customHeight="1">
      <c r="A4" s="1293">
        <v>1.1000000000000001</v>
      </c>
      <c r="B4" s="235" t="s">
        <v>1766</v>
      </c>
      <c r="C4" s="236" t="s">
        <v>1770</v>
      </c>
      <c r="D4" s="38"/>
      <c r="E4" s="143"/>
      <c r="F4" s="143"/>
      <c r="G4" s="143"/>
      <c r="H4" s="36">
        <v>65.400000000000006</v>
      </c>
      <c r="I4" s="36">
        <v>70.099999999999994</v>
      </c>
      <c r="J4" s="143">
        <v>73</v>
      </c>
      <c r="K4" s="143">
        <f>J4</f>
        <v>73</v>
      </c>
      <c r="L4" s="143">
        <v>75</v>
      </c>
      <c r="M4" s="143">
        <f>L4*1.2</f>
        <v>90</v>
      </c>
      <c r="N4" s="143">
        <v>95</v>
      </c>
      <c r="O4" s="143">
        <f>N4</f>
        <v>95</v>
      </c>
      <c r="P4" s="143">
        <f>ROUND(102.67%*X4,0)</f>
        <v>99</v>
      </c>
      <c r="Q4" s="1620" t="s">
        <v>2873</v>
      </c>
      <c r="R4" s="43"/>
      <c r="S4" s="885">
        <v>108.4</v>
      </c>
      <c r="T4" s="34">
        <v>147.80000000000001</v>
      </c>
      <c r="U4" s="841">
        <v>102</v>
      </c>
      <c r="V4" s="34"/>
      <c r="W4" s="36">
        <v>108</v>
      </c>
      <c r="X4" s="25">
        <v>96</v>
      </c>
      <c r="Y4" s="25">
        <v>99</v>
      </c>
      <c r="Z4" s="883">
        <f>(W4-O4)/O4</f>
        <v>0.1368421052631579</v>
      </c>
      <c r="AA4" s="883">
        <f>(X4-O4)/O4</f>
        <v>1.0526315789473684E-2</v>
      </c>
    </row>
    <row r="5" spans="1:28" ht="20.45" customHeight="1">
      <c r="A5" s="1293">
        <v>1.2</v>
      </c>
      <c r="B5" s="235" t="s">
        <v>1767</v>
      </c>
      <c r="C5" s="236" t="s">
        <v>1770</v>
      </c>
      <c r="D5" s="38"/>
      <c r="E5" s="143"/>
      <c r="F5" s="143"/>
      <c r="G5" s="143"/>
      <c r="H5" s="39"/>
      <c r="I5" s="36">
        <v>70.099999999999994</v>
      </c>
      <c r="J5" s="143">
        <v>73</v>
      </c>
      <c r="K5" s="143">
        <f t="shared" ref="K5:K47" si="0">J5</f>
        <v>73</v>
      </c>
      <c r="L5" s="143">
        <v>75</v>
      </c>
      <c r="M5" s="143">
        <f t="shared" ref="M5:M18" si="1">L5*1.2</f>
        <v>90</v>
      </c>
      <c r="N5" s="143">
        <v>95</v>
      </c>
      <c r="O5" s="143">
        <v>98</v>
      </c>
      <c r="P5" s="143">
        <f>ROUND(102.67%*X5,0)</f>
        <v>101</v>
      </c>
      <c r="Q5" s="1621"/>
      <c r="R5" s="43"/>
      <c r="S5" s="885">
        <v>110.7</v>
      </c>
      <c r="T5" s="34">
        <v>151.80000000000001</v>
      </c>
      <c r="U5" s="841">
        <v>103</v>
      </c>
      <c r="V5" s="34"/>
      <c r="W5" s="36">
        <v>110</v>
      </c>
      <c r="X5" s="25">
        <v>98</v>
      </c>
      <c r="Y5" s="25">
        <v>100</v>
      </c>
      <c r="Z5" s="883">
        <f>(W5-O5)/O5</f>
        <v>0.12244897959183673</v>
      </c>
      <c r="AA5" s="883">
        <f>(X5-O5)/O5</f>
        <v>0</v>
      </c>
    </row>
    <row r="6" spans="1:28" ht="19.5">
      <c r="A6" s="1293">
        <v>1.3</v>
      </c>
      <c r="B6" s="235" t="s">
        <v>1768</v>
      </c>
      <c r="C6" s="236" t="s">
        <v>1770</v>
      </c>
      <c r="D6" s="26"/>
      <c r="E6" s="36"/>
      <c r="F6" s="36"/>
      <c r="G6" s="36"/>
      <c r="H6" s="36"/>
      <c r="I6" s="36">
        <v>70.099999999999994</v>
      </c>
      <c r="J6" s="36">
        <f>I6</f>
        <v>70.099999999999994</v>
      </c>
      <c r="K6" s="143">
        <f t="shared" si="0"/>
        <v>70.099999999999994</v>
      </c>
      <c r="L6" s="143">
        <f t="shared" ref="L6:L47" si="2">K6</f>
        <v>70.099999999999994</v>
      </c>
      <c r="M6" s="143">
        <f t="shared" si="1"/>
        <v>84.11999999999999</v>
      </c>
      <c r="N6" s="143">
        <v>90</v>
      </c>
      <c r="O6" s="143">
        <f t="shared" ref="O6:O8" si="3">N6</f>
        <v>90</v>
      </c>
      <c r="P6" s="143">
        <f>ROUND(102.67%*O6,0)</f>
        <v>92</v>
      </c>
      <c r="Q6" s="1621"/>
      <c r="R6" s="1294"/>
      <c r="S6" s="886" t="s">
        <v>2358</v>
      </c>
      <c r="T6" s="34"/>
      <c r="U6" s="36"/>
      <c r="V6" s="34"/>
      <c r="W6" s="36"/>
      <c r="X6" s="34"/>
      <c r="Y6" s="34"/>
      <c r="Z6" s="883">
        <f>(W6-O6)/O6</f>
        <v>-1</v>
      </c>
      <c r="AA6" s="883">
        <f>(X6-O6)/O6</f>
        <v>-1</v>
      </c>
    </row>
    <row r="7" spans="1:28" ht="19.5">
      <c r="A7" s="1293">
        <v>1.4</v>
      </c>
      <c r="B7" s="235" t="s">
        <v>1769</v>
      </c>
      <c r="C7" s="236" t="s">
        <v>1770</v>
      </c>
      <c r="D7" s="26"/>
      <c r="E7" s="36"/>
      <c r="F7" s="36"/>
      <c r="G7" s="36"/>
      <c r="H7" s="36">
        <v>70.7</v>
      </c>
      <c r="I7" s="36">
        <v>70.7</v>
      </c>
      <c r="J7" s="36">
        <f>I7</f>
        <v>70.7</v>
      </c>
      <c r="K7" s="143">
        <f t="shared" si="0"/>
        <v>70.7</v>
      </c>
      <c r="L7" s="143">
        <f t="shared" si="2"/>
        <v>70.7</v>
      </c>
      <c r="M7" s="143">
        <f t="shared" si="1"/>
        <v>84.84</v>
      </c>
      <c r="N7" s="143">
        <v>90</v>
      </c>
      <c r="O7" s="143">
        <f t="shared" si="3"/>
        <v>90</v>
      </c>
      <c r="P7" s="143">
        <f>ROUND(102.67%*O7,0)</f>
        <v>92</v>
      </c>
      <c r="Q7" s="1621"/>
      <c r="R7" s="1294"/>
      <c r="S7" s="886" t="s">
        <v>2358</v>
      </c>
      <c r="T7" s="34"/>
      <c r="U7" s="36"/>
      <c r="V7" s="34"/>
      <c r="W7" s="36">
        <v>59</v>
      </c>
      <c r="X7" s="34"/>
      <c r="Y7" s="34"/>
      <c r="Z7" s="883">
        <f>(W7-O7)/O7</f>
        <v>-0.34444444444444444</v>
      </c>
      <c r="AA7" s="883">
        <f>(X7-O7)/O7</f>
        <v>-1</v>
      </c>
    </row>
    <row r="8" spans="1:28" ht="19.5">
      <c r="A8" s="1293">
        <v>1.5</v>
      </c>
      <c r="B8" s="235" t="s">
        <v>1924</v>
      </c>
      <c r="C8" s="236" t="s">
        <v>1770</v>
      </c>
      <c r="D8" s="26"/>
      <c r="E8" s="36"/>
      <c r="F8" s="36"/>
      <c r="G8" s="36"/>
      <c r="H8" s="36"/>
      <c r="I8" s="36">
        <v>87</v>
      </c>
      <c r="J8" s="36">
        <f>I8</f>
        <v>87</v>
      </c>
      <c r="K8" s="143">
        <f t="shared" si="0"/>
        <v>87</v>
      </c>
      <c r="L8" s="143">
        <f t="shared" si="2"/>
        <v>87</v>
      </c>
      <c r="M8" s="143">
        <f t="shared" si="1"/>
        <v>104.39999999999999</v>
      </c>
      <c r="N8" s="143">
        <v>110</v>
      </c>
      <c r="O8" s="143">
        <f t="shared" si="3"/>
        <v>110</v>
      </c>
      <c r="P8" s="143">
        <f>ROUND(102.67%*O8,0)</f>
        <v>113</v>
      </c>
      <c r="Q8" s="1622"/>
      <c r="R8" s="1294"/>
      <c r="S8" s="886" t="s">
        <v>2358</v>
      </c>
      <c r="T8" s="34"/>
      <c r="U8" s="36"/>
      <c r="V8" s="34"/>
      <c r="W8" s="36">
        <v>125</v>
      </c>
      <c r="X8" s="34"/>
      <c r="Y8" s="34"/>
      <c r="Z8" s="883">
        <f>(W8-O8)/O8</f>
        <v>0.13636363636363635</v>
      </c>
      <c r="AA8" s="883">
        <f>(X8-O8)/O8</f>
        <v>-1</v>
      </c>
    </row>
    <row r="9" spans="1:28" ht="19.5">
      <c r="A9" s="1292">
        <v>2</v>
      </c>
      <c r="B9" s="458" t="s">
        <v>1774</v>
      </c>
      <c r="C9" s="330"/>
      <c r="D9" s="384"/>
      <c r="E9" s="465"/>
      <c r="F9" s="465"/>
      <c r="G9" s="465"/>
      <c r="H9" s="465"/>
      <c r="I9" s="465"/>
      <c r="J9" s="465"/>
      <c r="K9" s="464"/>
      <c r="L9" s="464"/>
      <c r="M9" s="464"/>
      <c r="N9" s="464"/>
      <c r="O9" s="464"/>
      <c r="P9" s="464"/>
      <c r="Q9" s="464"/>
      <c r="R9" s="1295"/>
      <c r="S9" s="1619" t="s">
        <v>2341</v>
      </c>
      <c r="T9" s="1610"/>
      <c r="U9" s="1610" t="s">
        <v>2342</v>
      </c>
      <c r="V9" s="1610"/>
      <c r="W9" s="1264" t="s">
        <v>2343</v>
      </c>
      <c r="X9" s="1264" t="s">
        <v>2322</v>
      </c>
      <c r="Y9" s="881"/>
      <c r="Z9" s="884"/>
      <c r="AA9" s="883"/>
      <c r="AB9" s="34"/>
    </row>
    <row r="10" spans="1:28" ht="19.899999999999999" customHeight="1">
      <c r="A10" s="1296">
        <v>2.1</v>
      </c>
      <c r="B10" s="235" t="s">
        <v>1775</v>
      </c>
      <c r="C10" s="236" t="s">
        <v>1770</v>
      </c>
      <c r="D10" s="26"/>
      <c r="E10" s="36"/>
      <c r="F10" s="36"/>
      <c r="G10" s="36"/>
      <c r="H10" s="36">
        <v>60.8</v>
      </c>
      <c r="I10" s="36">
        <v>63.3</v>
      </c>
      <c r="J10" s="36">
        <f t="shared" ref="J10:J16" si="4">I10</f>
        <v>63.3</v>
      </c>
      <c r="K10" s="143">
        <f t="shared" si="0"/>
        <v>63.3</v>
      </c>
      <c r="L10" s="143">
        <f t="shared" si="2"/>
        <v>63.3</v>
      </c>
      <c r="M10" s="143">
        <f t="shared" si="1"/>
        <v>75.959999999999994</v>
      </c>
      <c r="N10" s="143">
        <v>80</v>
      </c>
      <c r="O10" s="143">
        <f>N10</f>
        <v>80</v>
      </c>
      <c r="P10" s="143">
        <f t="shared" ref="P10:P16" si="5">W10</f>
        <v>89</v>
      </c>
      <c r="Q10" s="1620" t="s">
        <v>2873</v>
      </c>
      <c r="R10" s="1294"/>
      <c r="S10" s="885">
        <v>98.9</v>
      </c>
      <c r="T10" s="34">
        <v>132.30000000000001</v>
      </c>
      <c r="U10" s="36">
        <v>98</v>
      </c>
      <c r="V10" s="34"/>
      <c r="W10" s="36">
        <v>89</v>
      </c>
      <c r="X10" s="34"/>
      <c r="Y10" s="34">
        <v>102</v>
      </c>
      <c r="Z10" s="883">
        <f t="shared" ref="Z10:Z16" si="6">(W10-O10)/O10</f>
        <v>0.1125</v>
      </c>
      <c r="AA10" s="883">
        <f t="shared" ref="AA10:AA16" si="7">(X10-O10)/O10</f>
        <v>-1</v>
      </c>
      <c r="AB10" s="34"/>
    </row>
    <row r="11" spans="1:28" ht="19.5">
      <c r="A11" s="1296">
        <v>2.2000000000000002</v>
      </c>
      <c r="B11" s="235" t="s">
        <v>1776</v>
      </c>
      <c r="C11" s="236" t="s">
        <v>1770</v>
      </c>
      <c r="D11" s="26"/>
      <c r="E11" s="36"/>
      <c r="F11" s="36"/>
      <c r="G11" s="36"/>
      <c r="H11" s="36">
        <v>64.599999999999994</v>
      </c>
      <c r="I11" s="36">
        <v>62.2</v>
      </c>
      <c r="J11" s="36">
        <f t="shared" si="4"/>
        <v>62.2</v>
      </c>
      <c r="K11" s="143">
        <f t="shared" si="0"/>
        <v>62.2</v>
      </c>
      <c r="L11" s="143">
        <f t="shared" si="2"/>
        <v>62.2</v>
      </c>
      <c r="M11" s="143">
        <f t="shared" si="1"/>
        <v>74.64</v>
      </c>
      <c r="N11" s="143">
        <v>80</v>
      </c>
      <c r="O11" s="143">
        <f t="shared" ref="O11:O16" si="8">N11</f>
        <v>80</v>
      </c>
      <c r="P11" s="143">
        <f t="shared" si="5"/>
        <v>94</v>
      </c>
      <c r="Q11" s="1621"/>
      <c r="R11" s="1294"/>
      <c r="S11" s="885">
        <v>104.8</v>
      </c>
      <c r="T11" s="34">
        <v>140.80000000000001</v>
      </c>
      <c r="U11" s="36">
        <v>98</v>
      </c>
      <c r="V11" s="34"/>
      <c r="W11" s="36">
        <v>94</v>
      </c>
      <c r="X11" s="34"/>
      <c r="Y11" s="34">
        <v>108</v>
      </c>
      <c r="Z11" s="883">
        <f t="shared" si="6"/>
        <v>0.17499999999999999</v>
      </c>
      <c r="AA11" s="883">
        <f t="shared" si="7"/>
        <v>-1</v>
      </c>
      <c r="AB11" s="34"/>
    </row>
    <row r="12" spans="1:28" ht="19.5">
      <c r="A12" s="1296">
        <v>2.2999999999999998</v>
      </c>
      <c r="B12" s="235" t="s">
        <v>1777</v>
      </c>
      <c r="C12" s="236" t="s">
        <v>1770</v>
      </c>
      <c r="D12" s="26"/>
      <c r="E12" s="36"/>
      <c r="F12" s="36"/>
      <c r="G12" s="36"/>
      <c r="H12" s="36">
        <v>68.3</v>
      </c>
      <c r="I12" s="36">
        <v>71.099999999999994</v>
      </c>
      <c r="J12" s="36">
        <f t="shared" si="4"/>
        <v>71.099999999999994</v>
      </c>
      <c r="K12" s="143">
        <f t="shared" si="0"/>
        <v>71.099999999999994</v>
      </c>
      <c r="L12" s="143">
        <f t="shared" si="2"/>
        <v>71.099999999999994</v>
      </c>
      <c r="M12" s="143">
        <f t="shared" si="1"/>
        <v>85.32</v>
      </c>
      <c r="N12" s="143">
        <v>90</v>
      </c>
      <c r="O12" s="143">
        <f t="shared" si="8"/>
        <v>90</v>
      </c>
      <c r="P12" s="143">
        <f t="shared" si="5"/>
        <v>99</v>
      </c>
      <c r="Q12" s="1621"/>
      <c r="R12" s="1294"/>
      <c r="S12" s="885">
        <v>110.6</v>
      </c>
      <c r="T12" s="34">
        <v>149.30000000000001</v>
      </c>
      <c r="U12" s="36">
        <v>98</v>
      </c>
      <c r="V12" s="34"/>
      <c r="W12" s="36">
        <v>99</v>
      </c>
      <c r="X12" s="34"/>
      <c r="Y12" s="34">
        <v>115</v>
      </c>
      <c r="Z12" s="883">
        <f t="shared" si="6"/>
        <v>0.1</v>
      </c>
      <c r="AA12" s="883">
        <f t="shared" si="7"/>
        <v>-1</v>
      </c>
      <c r="AB12" s="34"/>
    </row>
    <row r="13" spans="1:28" ht="19.5">
      <c r="A13" s="1296">
        <v>2.4</v>
      </c>
      <c r="B13" s="235" t="s">
        <v>1778</v>
      </c>
      <c r="C13" s="236" t="s">
        <v>1770</v>
      </c>
      <c r="D13" s="26"/>
      <c r="E13" s="36"/>
      <c r="F13" s="36"/>
      <c r="G13" s="36"/>
      <c r="H13" s="36">
        <v>61.6</v>
      </c>
      <c r="I13" s="36">
        <v>64.099999999999994</v>
      </c>
      <c r="J13" s="36">
        <f t="shared" si="4"/>
        <v>64.099999999999994</v>
      </c>
      <c r="K13" s="143">
        <f t="shared" si="0"/>
        <v>64.099999999999994</v>
      </c>
      <c r="L13" s="143">
        <f t="shared" si="2"/>
        <v>64.099999999999994</v>
      </c>
      <c r="M13" s="143">
        <f t="shared" si="1"/>
        <v>76.919999999999987</v>
      </c>
      <c r="N13" s="143">
        <v>80</v>
      </c>
      <c r="O13" s="143">
        <f t="shared" si="8"/>
        <v>80</v>
      </c>
      <c r="P13" s="143">
        <f t="shared" si="5"/>
        <v>90</v>
      </c>
      <c r="Q13" s="1621"/>
      <c r="R13" s="1294"/>
      <c r="S13" s="885">
        <v>100</v>
      </c>
      <c r="T13" s="34">
        <v>133.5</v>
      </c>
      <c r="U13" s="36">
        <v>97</v>
      </c>
      <c r="V13" s="34"/>
      <c r="W13" s="36">
        <v>90</v>
      </c>
      <c r="X13" s="34"/>
      <c r="Y13" s="34">
        <v>103</v>
      </c>
      <c r="Z13" s="883">
        <f t="shared" si="6"/>
        <v>0.125</v>
      </c>
      <c r="AA13" s="883">
        <f t="shared" si="7"/>
        <v>-1</v>
      </c>
      <c r="AB13" s="34"/>
    </row>
    <row r="14" spans="1:28" ht="19.5">
      <c r="A14" s="1296">
        <v>2.5</v>
      </c>
      <c r="B14" s="235" t="s">
        <v>1779</v>
      </c>
      <c r="C14" s="236" t="s">
        <v>1770</v>
      </c>
      <c r="D14" s="26"/>
      <c r="E14" s="36"/>
      <c r="F14" s="36"/>
      <c r="G14" s="36"/>
      <c r="H14" s="36">
        <v>66.3</v>
      </c>
      <c r="I14" s="36">
        <v>68.099999999999994</v>
      </c>
      <c r="J14" s="36">
        <f t="shared" si="4"/>
        <v>68.099999999999994</v>
      </c>
      <c r="K14" s="143">
        <f t="shared" si="0"/>
        <v>68.099999999999994</v>
      </c>
      <c r="L14" s="143">
        <f t="shared" si="2"/>
        <v>68.099999999999994</v>
      </c>
      <c r="M14" s="143">
        <f t="shared" si="1"/>
        <v>81.719999999999985</v>
      </c>
      <c r="N14" s="143">
        <v>85</v>
      </c>
      <c r="O14" s="143">
        <f t="shared" si="8"/>
        <v>85</v>
      </c>
      <c r="P14" s="143">
        <f t="shared" si="5"/>
        <v>94</v>
      </c>
      <c r="Q14" s="1621"/>
      <c r="R14" s="1294"/>
      <c r="S14" s="885">
        <v>112.3</v>
      </c>
      <c r="T14" s="34">
        <v>140.34</v>
      </c>
      <c r="U14" s="36">
        <v>97</v>
      </c>
      <c r="V14" s="34"/>
      <c r="W14" s="36">
        <v>94</v>
      </c>
      <c r="X14" s="25">
        <v>97</v>
      </c>
      <c r="Y14" s="34">
        <v>109</v>
      </c>
      <c r="Z14" s="883">
        <f t="shared" si="6"/>
        <v>0.10588235294117647</v>
      </c>
      <c r="AA14" s="883">
        <f t="shared" si="7"/>
        <v>0.14117647058823529</v>
      </c>
      <c r="AB14" s="34"/>
    </row>
    <row r="15" spans="1:28" ht="19.5">
      <c r="A15" s="1296">
        <v>2.6</v>
      </c>
      <c r="B15" s="235" t="s">
        <v>1780</v>
      </c>
      <c r="C15" s="236" t="s">
        <v>1770</v>
      </c>
      <c r="D15" s="26"/>
      <c r="E15" s="36"/>
      <c r="F15" s="36"/>
      <c r="G15" s="36"/>
      <c r="H15" s="36">
        <v>62.7</v>
      </c>
      <c r="I15" s="36">
        <v>65.3</v>
      </c>
      <c r="J15" s="36">
        <f t="shared" si="4"/>
        <v>65.3</v>
      </c>
      <c r="K15" s="143">
        <f t="shared" si="0"/>
        <v>65.3</v>
      </c>
      <c r="L15" s="143">
        <f t="shared" si="2"/>
        <v>65.3</v>
      </c>
      <c r="M15" s="143">
        <f t="shared" si="1"/>
        <v>78.36</v>
      </c>
      <c r="N15" s="143">
        <v>82</v>
      </c>
      <c r="O15" s="143">
        <f t="shared" si="8"/>
        <v>82</v>
      </c>
      <c r="P15" s="143">
        <f t="shared" si="5"/>
        <v>91</v>
      </c>
      <c r="Q15" s="1621"/>
      <c r="R15" s="1294"/>
      <c r="S15" s="885">
        <v>101.6</v>
      </c>
      <c r="T15" s="34">
        <v>135</v>
      </c>
      <c r="U15" s="36">
        <v>96</v>
      </c>
      <c r="V15" s="34"/>
      <c r="W15" s="36">
        <v>91</v>
      </c>
      <c r="X15" s="34"/>
      <c r="Y15" s="34">
        <v>105</v>
      </c>
      <c r="Z15" s="883">
        <f t="shared" si="6"/>
        <v>0.10975609756097561</v>
      </c>
      <c r="AA15" s="883">
        <f t="shared" si="7"/>
        <v>-1</v>
      </c>
      <c r="AB15" s="34"/>
    </row>
    <row r="16" spans="1:28" ht="19.5">
      <c r="A16" s="1297">
        <v>3</v>
      </c>
      <c r="B16" s="1337" t="s">
        <v>1781</v>
      </c>
      <c r="C16" s="878" t="s">
        <v>1770</v>
      </c>
      <c r="D16" s="879"/>
      <c r="E16" s="806"/>
      <c r="F16" s="806"/>
      <c r="G16" s="806"/>
      <c r="H16" s="806">
        <v>69.400000000000006</v>
      </c>
      <c r="I16" s="806">
        <v>70.400000000000006</v>
      </c>
      <c r="J16" s="806">
        <f t="shared" si="4"/>
        <v>70.400000000000006</v>
      </c>
      <c r="K16" s="880">
        <f t="shared" si="0"/>
        <v>70.400000000000006</v>
      </c>
      <c r="L16" s="880">
        <f t="shared" si="2"/>
        <v>70.400000000000006</v>
      </c>
      <c r="M16" s="880">
        <f t="shared" si="1"/>
        <v>84.48</v>
      </c>
      <c r="N16" s="880">
        <v>88</v>
      </c>
      <c r="O16" s="880">
        <f t="shared" si="8"/>
        <v>88</v>
      </c>
      <c r="P16" s="880">
        <f t="shared" si="5"/>
        <v>98</v>
      </c>
      <c r="Q16" s="1622"/>
      <c r="R16" s="1298"/>
      <c r="S16" s="885">
        <v>105.7</v>
      </c>
      <c r="T16" s="34">
        <v>139.1</v>
      </c>
      <c r="U16" s="36"/>
      <c r="V16" s="34"/>
      <c r="W16" s="36">
        <v>98</v>
      </c>
      <c r="X16" s="34"/>
      <c r="Y16" s="34">
        <v>108</v>
      </c>
      <c r="Z16" s="883">
        <f t="shared" si="6"/>
        <v>0.11363636363636363</v>
      </c>
      <c r="AA16" s="883">
        <f t="shared" si="7"/>
        <v>-1</v>
      </c>
      <c r="AB16" s="34"/>
    </row>
    <row r="17" spans="1:28" ht="15" customHeight="1">
      <c r="A17" s="1292">
        <v>4</v>
      </c>
      <c r="B17" s="375" t="s">
        <v>188</v>
      </c>
      <c r="C17" s="330"/>
      <c r="D17" s="384"/>
      <c r="E17" s="465"/>
      <c r="F17" s="465"/>
      <c r="G17" s="465"/>
      <c r="H17" s="465"/>
      <c r="I17" s="465"/>
      <c r="J17" s="465"/>
      <c r="K17" s="464"/>
      <c r="L17" s="464"/>
      <c r="M17" s="464"/>
      <c r="N17" s="464"/>
      <c r="O17" s="464"/>
      <c r="P17" s="464"/>
      <c r="Q17" s="464"/>
      <c r="R17" s="1295"/>
      <c r="S17" s="1282"/>
      <c r="T17" s="1121"/>
      <c r="U17" s="1279"/>
      <c r="W17" s="1279"/>
      <c r="X17" s="34"/>
      <c r="Y17" s="34"/>
      <c r="Z17" s="883"/>
      <c r="AA17" s="883"/>
      <c r="AB17" s="34"/>
    </row>
    <row r="18" spans="1:28" ht="24.6" customHeight="1">
      <c r="A18" s="1296">
        <v>4.0999999999999996</v>
      </c>
      <c r="B18" s="244" t="s">
        <v>1410</v>
      </c>
      <c r="C18" s="236" t="s">
        <v>1770</v>
      </c>
      <c r="D18" s="26"/>
      <c r="E18" s="36"/>
      <c r="F18" s="36"/>
      <c r="G18" s="36"/>
      <c r="H18" s="36">
        <v>310</v>
      </c>
      <c r="I18" s="36">
        <v>320</v>
      </c>
      <c r="J18" s="36">
        <f>I18</f>
        <v>320</v>
      </c>
      <c r="K18" s="143">
        <f t="shared" si="0"/>
        <v>320</v>
      </c>
      <c r="L18" s="143">
        <f t="shared" si="2"/>
        <v>320</v>
      </c>
      <c r="M18" s="143">
        <f t="shared" si="1"/>
        <v>384</v>
      </c>
      <c r="N18" s="143">
        <f>M18</f>
        <v>384</v>
      </c>
      <c r="O18" s="143">
        <f>N18</f>
        <v>384</v>
      </c>
      <c r="P18" s="143">
        <v>400</v>
      </c>
      <c r="Q18" s="143">
        <v>450</v>
      </c>
      <c r="R18" s="1299"/>
      <c r="S18" s="885">
        <v>560</v>
      </c>
      <c r="T18" s="34">
        <v>700</v>
      </c>
      <c r="U18" s="36">
        <v>400</v>
      </c>
      <c r="W18" s="36">
        <v>370</v>
      </c>
      <c r="X18" s="25">
        <v>465</v>
      </c>
      <c r="Y18" s="34">
        <v>510</v>
      </c>
      <c r="Z18" s="883">
        <f>(W18-O18)/O18</f>
        <v>-3.6458333333333336E-2</v>
      </c>
      <c r="AA18" s="883">
        <f>(X18-O18)/O18</f>
        <v>0.2109375</v>
      </c>
      <c r="AB18" s="34"/>
    </row>
    <row r="19" spans="1:28" s="237" customFormat="1" ht="24.6" customHeight="1">
      <c r="A19" s="1300">
        <v>5</v>
      </c>
      <c r="B19" s="458" t="s">
        <v>2014</v>
      </c>
      <c r="C19" s="458"/>
      <c r="D19" s="458"/>
      <c r="E19" s="458"/>
      <c r="F19" s="458"/>
      <c r="G19" s="458"/>
      <c r="H19" s="458"/>
      <c r="I19" s="458"/>
      <c r="J19" s="458"/>
      <c r="K19" s="458"/>
      <c r="L19" s="458"/>
      <c r="M19" s="458"/>
      <c r="N19" s="458"/>
      <c r="O19" s="458"/>
      <c r="P19" s="458"/>
      <c r="Q19" s="458"/>
      <c r="R19" s="458"/>
      <c r="S19" s="887"/>
    </row>
    <row r="20" spans="1:28" ht="19.5">
      <c r="A20" s="236">
        <v>5.0999999999999996</v>
      </c>
      <c r="B20" s="235" t="s">
        <v>2019</v>
      </c>
      <c r="C20" s="236" t="s">
        <v>2283</v>
      </c>
      <c r="D20" s="38"/>
      <c r="E20" s="143"/>
      <c r="F20" s="143"/>
      <c r="G20" s="143"/>
      <c r="H20" s="282"/>
      <c r="I20" s="282"/>
      <c r="J20" s="282"/>
      <c r="K20" s="282"/>
      <c r="L20" s="282"/>
      <c r="M20" s="282"/>
      <c r="N20" s="1616" t="s">
        <v>1773</v>
      </c>
      <c r="O20" s="1616"/>
      <c r="P20" s="1616"/>
      <c r="Q20" s="1616"/>
      <c r="R20" s="1299"/>
      <c r="T20" s="155"/>
      <c r="U20" s="155"/>
    </row>
    <row r="21" spans="1:28" ht="19.5">
      <c r="A21" s="236">
        <v>5.2</v>
      </c>
      <c r="B21" s="235" t="s">
        <v>2015</v>
      </c>
      <c r="C21" s="236" t="s">
        <v>2283</v>
      </c>
      <c r="D21" s="38"/>
      <c r="E21" s="143"/>
      <c r="F21" s="143"/>
      <c r="G21" s="143"/>
      <c r="H21" s="282"/>
      <c r="I21" s="282"/>
      <c r="J21" s="282"/>
      <c r="K21" s="282"/>
      <c r="L21" s="282"/>
      <c r="M21" s="282"/>
      <c r="N21" s="272"/>
      <c r="O21" s="272"/>
      <c r="P21" s="272">
        <v>774</v>
      </c>
      <c r="Q21" s="272">
        <f>P21</f>
        <v>774</v>
      </c>
      <c r="R21" s="1301"/>
      <c r="S21" s="333" t="s">
        <v>2016</v>
      </c>
      <c r="T21" s="155"/>
      <c r="U21" s="155"/>
    </row>
    <row r="22" spans="1:28" ht="19.5">
      <c r="A22" s="236">
        <v>5.3</v>
      </c>
      <c r="B22" s="235" t="s">
        <v>2017</v>
      </c>
      <c r="C22" s="236" t="s">
        <v>1770</v>
      </c>
      <c r="D22" s="38"/>
      <c r="E22" s="143"/>
      <c r="F22" s="143"/>
      <c r="G22" s="143"/>
      <c r="H22" s="282"/>
      <c r="I22" s="282"/>
      <c r="J22" s="282"/>
      <c r="K22" s="282"/>
      <c r="L22" s="282"/>
      <c r="M22" s="282"/>
      <c r="N22" s="272"/>
      <c r="O22" s="272"/>
      <c r="P22" s="272">
        <v>659</v>
      </c>
      <c r="Q22" s="272">
        <f t="shared" ref="Q22:Q23" si="9">P22</f>
        <v>659</v>
      </c>
      <c r="R22" s="1301"/>
      <c r="S22" s="333" t="s">
        <v>2016</v>
      </c>
      <c r="T22" s="155"/>
      <c r="U22" s="155"/>
    </row>
    <row r="23" spans="1:28" ht="19.5">
      <c r="A23" s="236">
        <v>5.4</v>
      </c>
      <c r="B23" s="235" t="s">
        <v>2018</v>
      </c>
      <c r="C23" s="236" t="s">
        <v>2283</v>
      </c>
      <c r="D23" s="38"/>
      <c r="E23" s="143"/>
      <c r="F23" s="143"/>
      <c r="G23" s="143"/>
      <c r="H23" s="282"/>
      <c r="I23" s="282"/>
      <c r="J23" s="282"/>
      <c r="K23" s="282"/>
      <c r="L23" s="282"/>
      <c r="M23" s="282"/>
      <c r="N23" s="272"/>
      <c r="O23" s="272"/>
      <c r="P23" s="272">
        <v>672</v>
      </c>
      <c r="Q23" s="272">
        <f t="shared" si="9"/>
        <v>672</v>
      </c>
      <c r="R23" s="1301"/>
      <c r="S23" s="333" t="s">
        <v>2016</v>
      </c>
      <c r="T23" s="155"/>
      <c r="U23" s="155"/>
      <c r="V23" s="839" t="s">
        <v>2639</v>
      </c>
    </row>
    <row r="24" spans="1:28" ht="19.5">
      <c r="A24" s="381">
        <v>6</v>
      </c>
      <c r="B24" s="458" t="s">
        <v>1785</v>
      </c>
      <c r="C24" s="328"/>
      <c r="D24" s="378"/>
      <c r="E24" s="377"/>
      <c r="F24" s="377"/>
      <c r="G24" s="377"/>
      <c r="H24" s="377"/>
      <c r="I24" s="377"/>
      <c r="J24" s="377"/>
      <c r="K24" s="464"/>
      <c r="L24" s="464"/>
      <c r="M24" s="464"/>
      <c r="N24" s="464"/>
      <c r="O24" s="464"/>
      <c r="P24" s="464"/>
      <c r="Q24" s="464"/>
      <c r="R24" s="375"/>
      <c r="S24" s="839" t="s">
        <v>2606</v>
      </c>
      <c r="T24" s="1012" t="s">
        <v>2608</v>
      </c>
      <c r="U24" s="1012" t="s">
        <v>2322</v>
      </c>
      <c r="V24" s="839" t="s">
        <v>2896</v>
      </c>
      <c r="W24" s="1489" t="s">
        <v>2897</v>
      </c>
      <c r="X24" s="839"/>
      <c r="Y24" s="839"/>
    </row>
    <row r="25" spans="1:28" ht="19.5">
      <c r="A25" s="1302">
        <v>6.1</v>
      </c>
      <c r="B25" s="240" t="s">
        <v>1817</v>
      </c>
      <c r="C25" s="236" t="s">
        <v>1771</v>
      </c>
      <c r="D25" s="26">
        <v>1392</v>
      </c>
      <c r="E25" s="27"/>
      <c r="F25" s="27"/>
      <c r="G25" s="27">
        <v>1660</v>
      </c>
      <c r="H25" s="115">
        <v>1415</v>
      </c>
      <c r="I25" s="115">
        <v>1415</v>
      </c>
      <c r="J25" s="115">
        <f t="shared" ref="J25:J47" si="10">I25</f>
        <v>1415</v>
      </c>
      <c r="K25" s="143">
        <f t="shared" si="0"/>
        <v>1415</v>
      </c>
      <c r="L25" s="143">
        <v>1500</v>
      </c>
      <c r="M25" s="143">
        <f t="shared" ref="M25:M59" si="11">L25*1.1</f>
        <v>1650.0000000000002</v>
      </c>
      <c r="N25" s="143">
        <f t="shared" ref="N25:N59" si="12">M25</f>
        <v>1650.0000000000002</v>
      </c>
      <c r="O25" s="143">
        <f>N25</f>
        <v>1650.0000000000002</v>
      </c>
      <c r="P25" s="143">
        <f>O25</f>
        <v>1650.0000000000002</v>
      </c>
      <c r="Q25" s="279">
        <f>P25</f>
        <v>1650.0000000000002</v>
      </c>
      <c r="R25" s="1554"/>
      <c r="S25" s="839">
        <v>2500</v>
      </c>
      <c r="T25" s="1012">
        <v>2550</v>
      </c>
      <c r="U25" s="1012">
        <v>2321</v>
      </c>
      <c r="V25" s="1012">
        <f>(Q25-P25)</f>
        <v>0</v>
      </c>
      <c r="W25" s="883">
        <f>(Q25-P25)/P25</f>
        <v>0</v>
      </c>
      <c r="X25" s="839"/>
      <c r="Y25" s="839"/>
    </row>
    <row r="26" spans="1:28" ht="19.5">
      <c r="A26" s="1302">
        <v>6.2</v>
      </c>
      <c r="B26" s="240" t="s">
        <v>1818</v>
      </c>
      <c r="C26" s="236" t="s">
        <v>1771</v>
      </c>
      <c r="D26" s="26">
        <v>1392</v>
      </c>
      <c r="E26" s="27"/>
      <c r="F26" s="27"/>
      <c r="G26" s="27">
        <v>1660</v>
      </c>
      <c r="H26" s="115">
        <v>1890</v>
      </c>
      <c r="I26" s="115">
        <v>1890</v>
      </c>
      <c r="J26" s="115">
        <f t="shared" si="10"/>
        <v>1890</v>
      </c>
      <c r="K26" s="143">
        <f t="shared" si="0"/>
        <v>1890</v>
      </c>
      <c r="L26" s="143">
        <v>1950</v>
      </c>
      <c r="M26" s="143">
        <f t="shared" si="11"/>
        <v>2145</v>
      </c>
      <c r="N26" s="143">
        <f t="shared" si="12"/>
        <v>2145</v>
      </c>
      <c r="O26" s="143">
        <f t="shared" ref="O26:O47" si="13">N26</f>
        <v>2145</v>
      </c>
      <c r="P26" s="143">
        <f t="shared" ref="P26:P44" si="14">O26</f>
        <v>2145</v>
      </c>
      <c r="Q26" s="279">
        <f t="shared" ref="Q26:Q43" si="15">P26</f>
        <v>2145</v>
      </c>
      <c r="R26" s="1554"/>
      <c r="S26" s="839">
        <v>3200</v>
      </c>
      <c r="T26" s="1012">
        <v>3240</v>
      </c>
      <c r="U26" s="1012">
        <v>2861</v>
      </c>
      <c r="V26" s="839">
        <f t="shared" ref="V26:V43" si="16">TRUNC(105%*U26,0)</f>
        <v>3004</v>
      </c>
      <c r="W26" s="883">
        <f t="shared" ref="W26:W43" si="17">(Q26-P26)/P26</f>
        <v>0</v>
      </c>
      <c r="X26" s="839"/>
      <c r="Y26" s="839"/>
    </row>
    <row r="27" spans="1:28" ht="19.5">
      <c r="A27" s="1302">
        <v>6.3</v>
      </c>
      <c r="B27" s="240" t="s">
        <v>1819</v>
      </c>
      <c r="C27" s="236" t="s">
        <v>1771</v>
      </c>
      <c r="D27" s="26"/>
      <c r="E27" s="27"/>
      <c r="F27" s="27"/>
      <c r="G27" s="27"/>
      <c r="H27" s="115">
        <v>2365</v>
      </c>
      <c r="I27" s="115">
        <v>2365</v>
      </c>
      <c r="J27" s="115">
        <f t="shared" si="10"/>
        <v>2365</v>
      </c>
      <c r="K27" s="143">
        <f t="shared" si="0"/>
        <v>2365</v>
      </c>
      <c r="L27" s="143">
        <v>2450</v>
      </c>
      <c r="M27" s="143">
        <f t="shared" si="11"/>
        <v>2695</v>
      </c>
      <c r="N27" s="143">
        <f t="shared" si="12"/>
        <v>2695</v>
      </c>
      <c r="O27" s="143">
        <f t="shared" si="13"/>
        <v>2695</v>
      </c>
      <c r="P27" s="143">
        <f t="shared" si="14"/>
        <v>2695</v>
      </c>
      <c r="Q27" s="279">
        <f t="shared" si="15"/>
        <v>2695</v>
      </c>
      <c r="R27" s="1554"/>
      <c r="S27" s="839">
        <v>3650</v>
      </c>
      <c r="T27" s="1012">
        <v>3680</v>
      </c>
      <c r="U27" s="1012">
        <v>3476</v>
      </c>
      <c r="V27" s="839">
        <f t="shared" si="16"/>
        <v>3649</v>
      </c>
      <c r="W27" s="883">
        <f t="shared" si="17"/>
        <v>0</v>
      </c>
      <c r="X27" s="839"/>
      <c r="Y27" s="839"/>
    </row>
    <row r="28" spans="1:28" ht="19.5">
      <c r="A28" s="1302">
        <v>6.4</v>
      </c>
      <c r="B28" s="1479" t="s">
        <v>1820</v>
      </c>
      <c r="C28" s="236" t="s">
        <v>1771</v>
      </c>
      <c r="D28" s="26">
        <v>1392</v>
      </c>
      <c r="E28" s="27">
        <v>2045</v>
      </c>
      <c r="F28" s="27">
        <v>2150</v>
      </c>
      <c r="G28" s="27">
        <v>2260</v>
      </c>
      <c r="H28" s="115">
        <v>3415</v>
      </c>
      <c r="I28" s="115">
        <v>3415</v>
      </c>
      <c r="J28" s="115">
        <f t="shared" si="10"/>
        <v>3415</v>
      </c>
      <c r="K28" s="143">
        <f t="shared" si="0"/>
        <v>3415</v>
      </c>
      <c r="L28" s="143">
        <v>3550</v>
      </c>
      <c r="M28" s="143">
        <f t="shared" si="11"/>
        <v>3905.0000000000005</v>
      </c>
      <c r="N28" s="143">
        <f t="shared" si="12"/>
        <v>3905.0000000000005</v>
      </c>
      <c r="O28" s="143">
        <f t="shared" si="13"/>
        <v>3905.0000000000005</v>
      </c>
      <c r="P28" s="143">
        <f t="shared" si="14"/>
        <v>3905.0000000000005</v>
      </c>
      <c r="Q28" s="279">
        <f t="shared" si="15"/>
        <v>3905.0000000000005</v>
      </c>
      <c r="R28" s="1555"/>
      <c r="S28" s="839">
        <v>4400</v>
      </c>
      <c r="T28" s="1012">
        <v>4450</v>
      </c>
      <c r="U28" s="1012">
        <v>3953</v>
      </c>
      <c r="V28" s="839">
        <f t="shared" si="16"/>
        <v>4150</v>
      </c>
      <c r="W28" s="883">
        <f t="shared" si="17"/>
        <v>0</v>
      </c>
      <c r="X28" s="839"/>
      <c r="Y28" s="839"/>
    </row>
    <row r="29" spans="1:28" ht="19.5">
      <c r="A29" s="1302">
        <v>6.5</v>
      </c>
      <c r="B29" s="240" t="s">
        <v>1821</v>
      </c>
      <c r="C29" s="236" t="s">
        <v>1771</v>
      </c>
      <c r="D29" s="26">
        <v>1569</v>
      </c>
      <c r="E29" s="27">
        <v>2615</v>
      </c>
      <c r="F29" s="27">
        <v>2750</v>
      </c>
      <c r="G29" s="27">
        <v>2890</v>
      </c>
      <c r="H29" s="115">
        <v>4570</v>
      </c>
      <c r="I29" s="115">
        <v>4570</v>
      </c>
      <c r="J29" s="115">
        <f t="shared" si="10"/>
        <v>4570</v>
      </c>
      <c r="K29" s="143">
        <f t="shared" si="0"/>
        <v>4570</v>
      </c>
      <c r="L29" s="143">
        <v>4800</v>
      </c>
      <c r="M29" s="143">
        <f t="shared" si="11"/>
        <v>5280</v>
      </c>
      <c r="N29" s="143">
        <f t="shared" si="12"/>
        <v>5280</v>
      </c>
      <c r="O29" s="143">
        <f t="shared" si="13"/>
        <v>5280</v>
      </c>
      <c r="P29" s="143">
        <f t="shared" si="14"/>
        <v>5280</v>
      </c>
      <c r="Q29" s="279">
        <f t="shared" si="15"/>
        <v>5280</v>
      </c>
      <c r="R29" s="1555"/>
      <c r="S29" s="839">
        <v>5400</v>
      </c>
      <c r="T29" s="1012">
        <v>5440</v>
      </c>
      <c r="U29" s="1012">
        <v>5045</v>
      </c>
      <c r="V29" s="839">
        <f t="shared" si="16"/>
        <v>5297</v>
      </c>
      <c r="W29" s="883">
        <f t="shared" si="17"/>
        <v>0</v>
      </c>
      <c r="X29" s="839"/>
      <c r="Y29" s="839"/>
    </row>
    <row r="30" spans="1:28" ht="19.5">
      <c r="A30" s="1302">
        <v>6.6</v>
      </c>
      <c r="B30" s="240" t="s">
        <v>1822</v>
      </c>
      <c r="C30" s="236" t="s">
        <v>1771</v>
      </c>
      <c r="D30" s="26">
        <v>1711</v>
      </c>
      <c r="E30" s="27">
        <v>3000</v>
      </c>
      <c r="F30" s="27">
        <v>3150</v>
      </c>
      <c r="G30" s="27">
        <v>3310</v>
      </c>
      <c r="H30" s="115">
        <v>4895</v>
      </c>
      <c r="I30" s="115">
        <v>4895</v>
      </c>
      <c r="J30" s="115">
        <f t="shared" si="10"/>
        <v>4895</v>
      </c>
      <c r="K30" s="143">
        <f t="shared" si="0"/>
        <v>4895</v>
      </c>
      <c r="L30" s="143">
        <v>5000</v>
      </c>
      <c r="M30" s="143">
        <f t="shared" si="11"/>
        <v>5500</v>
      </c>
      <c r="N30" s="143">
        <f t="shared" si="12"/>
        <v>5500</v>
      </c>
      <c r="O30" s="143">
        <f t="shared" si="13"/>
        <v>5500</v>
      </c>
      <c r="P30" s="143">
        <f t="shared" si="14"/>
        <v>5500</v>
      </c>
      <c r="Q30" s="279">
        <f t="shared" si="15"/>
        <v>5500</v>
      </c>
      <c r="R30" s="1555"/>
      <c r="S30" s="839">
        <v>6200</v>
      </c>
      <c r="T30" s="1012">
        <v>6240</v>
      </c>
      <c r="U30" s="1012">
        <v>5796</v>
      </c>
      <c r="V30" s="839">
        <f t="shared" si="16"/>
        <v>6085</v>
      </c>
      <c r="W30" s="883">
        <f>(Q30-P30)/P30</f>
        <v>0</v>
      </c>
      <c r="X30" s="839"/>
      <c r="Y30" s="839"/>
    </row>
    <row r="31" spans="1:28" ht="19.5">
      <c r="A31" s="1302">
        <v>6.7</v>
      </c>
      <c r="B31" s="240" t="s">
        <v>1823</v>
      </c>
      <c r="C31" s="236" t="s">
        <v>1771</v>
      </c>
      <c r="D31" s="26">
        <v>2012</v>
      </c>
      <c r="E31" s="27">
        <v>3360</v>
      </c>
      <c r="F31" s="27">
        <v>3530</v>
      </c>
      <c r="G31" s="27">
        <v>3710</v>
      </c>
      <c r="H31" s="115">
        <v>5460</v>
      </c>
      <c r="I31" s="115">
        <v>5460</v>
      </c>
      <c r="J31" s="115">
        <f t="shared" si="10"/>
        <v>5460</v>
      </c>
      <c r="K31" s="143">
        <f t="shared" si="0"/>
        <v>5460</v>
      </c>
      <c r="L31" s="143">
        <v>5600</v>
      </c>
      <c r="M31" s="143">
        <f t="shared" si="11"/>
        <v>6160.0000000000009</v>
      </c>
      <c r="N31" s="143">
        <f t="shared" si="12"/>
        <v>6160.0000000000009</v>
      </c>
      <c r="O31" s="143">
        <f t="shared" si="13"/>
        <v>6160.0000000000009</v>
      </c>
      <c r="P31" s="143">
        <f t="shared" si="14"/>
        <v>6160.0000000000009</v>
      </c>
      <c r="Q31" s="279">
        <f t="shared" si="15"/>
        <v>6160.0000000000009</v>
      </c>
      <c r="R31" s="1555"/>
      <c r="S31" s="839">
        <v>7200</v>
      </c>
      <c r="T31" s="1012">
        <v>7250</v>
      </c>
      <c r="U31" s="1012">
        <v>6473</v>
      </c>
      <c r="V31" s="839">
        <f t="shared" si="16"/>
        <v>6796</v>
      </c>
      <c r="W31" s="883">
        <f t="shared" si="17"/>
        <v>0</v>
      </c>
      <c r="X31" s="839"/>
      <c r="Y31" s="839"/>
    </row>
    <row r="32" spans="1:28" ht="19.5">
      <c r="A32" s="1302">
        <v>6.8</v>
      </c>
      <c r="B32" s="240" t="s">
        <v>1824</v>
      </c>
      <c r="C32" s="236" t="s">
        <v>1771</v>
      </c>
      <c r="D32" s="26">
        <v>2340</v>
      </c>
      <c r="E32" s="27">
        <v>4000</v>
      </c>
      <c r="F32" s="27">
        <v>4200</v>
      </c>
      <c r="G32" s="27">
        <v>4420</v>
      </c>
      <c r="H32" s="115">
        <v>6755</v>
      </c>
      <c r="I32" s="115">
        <v>6755</v>
      </c>
      <c r="J32" s="115">
        <f t="shared" si="10"/>
        <v>6755</v>
      </c>
      <c r="K32" s="143">
        <f t="shared" si="0"/>
        <v>6755</v>
      </c>
      <c r="L32" s="143">
        <v>6850</v>
      </c>
      <c r="M32" s="143">
        <f t="shared" si="11"/>
        <v>7535.0000000000009</v>
      </c>
      <c r="N32" s="143">
        <f t="shared" si="12"/>
        <v>7535.0000000000009</v>
      </c>
      <c r="O32" s="143">
        <f t="shared" si="13"/>
        <v>7535.0000000000009</v>
      </c>
      <c r="P32" s="143">
        <f t="shared" si="14"/>
        <v>7535.0000000000009</v>
      </c>
      <c r="Q32" s="279">
        <f t="shared" si="15"/>
        <v>7535.0000000000009</v>
      </c>
      <c r="R32" s="1555"/>
      <c r="S32" s="839">
        <v>8200</v>
      </c>
      <c r="T32" s="1012">
        <v>8240</v>
      </c>
      <c r="U32" s="1012">
        <v>7770</v>
      </c>
      <c r="V32" s="839">
        <f t="shared" si="16"/>
        <v>8158</v>
      </c>
      <c r="W32" s="883">
        <f t="shared" si="17"/>
        <v>0</v>
      </c>
      <c r="X32" s="839"/>
      <c r="Y32" s="839"/>
    </row>
    <row r="33" spans="1:25" ht="19.5">
      <c r="A33" s="1302">
        <v>6.9</v>
      </c>
      <c r="B33" s="240" t="s">
        <v>1825</v>
      </c>
      <c r="C33" s="236" t="s">
        <v>1771</v>
      </c>
      <c r="D33" s="26">
        <v>3289</v>
      </c>
      <c r="E33" s="27">
        <v>5800</v>
      </c>
      <c r="F33" s="27">
        <v>6090</v>
      </c>
      <c r="G33" s="27">
        <v>6400</v>
      </c>
      <c r="H33" s="115">
        <v>9240</v>
      </c>
      <c r="I33" s="115">
        <v>9240</v>
      </c>
      <c r="J33" s="115">
        <f t="shared" si="10"/>
        <v>9240</v>
      </c>
      <c r="K33" s="143">
        <f t="shared" si="0"/>
        <v>9240</v>
      </c>
      <c r="L33" s="143">
        <v>9500</v>
      </c>
      <c r="M33" s="143">
        <f t="shared" si="11"/>
        <v>10450</v>
      </c>
      <c r="N33" s="143">
        <f t="shared" si="12"/>
        <v>10450</v>
      </c>
      <c r="O33" s="143">
        <f t="shared" si="13"/>
        <v>10450</v>
      </c>
      <c r="P33" s="143">
        <f t="shared" si="14"/>
        <v>10450</v>
      </c>
      <c r="Q33" s="279">
        <f t="shared" si="15"/>
        <v>10450</v>
      </c>
      <c r="R33" s="1555"/>
      <c r="S33" s="839">
        <v>12000</v>
      </c>
      <c r="T33" s="1012">
        <v>12040</v>
      </c>
      <c r="U33" s="1012">
        <v>11177</v>
      </c>
      <c r="V33" s="839">
        <f t="shared" si="16"/>
        <v>11735</v>
      </c>
      <c r="W33" s="883">
        <f t="shared" si="17"/>
        <v>0</v>
      </c>
      <c r="X33" s="839"/>
      <c r="Y33" s="839"/>
    </row>
    <row r="34" spans="1:25" ht="19.5">
      <c r="A34" s="1303">
        <v>6.1</v>
      </c>
      <c r="B34" s="240" t="s">
        <v>1826</v>
      </c>
      <c r="C34" s="236" t="s">
        <v>1771</v>
      </c>
      <c r="D34" s="26">
        <v>4376</v>
      </c>
      <c r="E34" s="27">
        <v>7350</v>
      </c>
      <c r="F34" s="27">
        <v>7700</v>
      </c>
      <c r="G34" s="27">
        <v>8110</v>
      </c>
      <c r="H34" s="115">
        <v>12240</v>
      </c>
      <c r="I34" s="115">
        <v>12240</v>
      </c>
      <c r="J34" s="115">
        <f t="shared" si="10"/>
        <v>12240</v>
      </c>
      <c r="K34" s="143">
        <f t="shared" si="0"/>
        <v>12240</v>
      </c>
      <c r="L34" s="143">
        <v>12400</v>
      </c>
      <c r="M34" s="143">
        <f t="shared" si="11"/>
        <v>13640.000000000002</v>
      </c>
      <c r="N34" s="143">
        <f t="shared" si="12"/>
        <v>13640.000000000002</v>
      </c>
      <c r="O34" s="143">
        <f t="shared" si="13"/>
        <v>13640.000000000002</v>
      </c>
      <c r="P34" s="143">
        <f t="shared" si="14"/>
        <v>13640.000000000002</v>
      </c>
      <c r="Q34" s="279">
        <f t="shared" si="15"/>
        <v>13640.000000000002</v>
      </c>
      <c r="R34" s="1555"/>
      <c r="S34" s="839">
        <v>16200</v>
      </c>
      <c r="T34" s="1012">
        <v>16250</v>
      </c>
      <c r="U34" s="1012">
        <v>14338</v>
      </c>
      <c r="V34" s="839">
        <f t="shared" si="16"/>
        <v>15054</v>
      </c>
      <c r="W34" s="883">
        <f t="shared" si="17"/>
        <v>0</v>
      </c>
      <c r="X34" s="839"/>
      <c r="Y34" s="839"/>
    </row>
    <row r="35" spans="1:25" ht="19.5">
      <c r="A35" s="1302">
        <v>6.11</v>
      </c>
      <c r="B35" s="240" t="s">
        <v>1827</v>
      </c>
      <c r="C35" s="236" t="s">
        <v>1771</v>
      </c>
      <c r="D35" s="26">
        <v>4933</v>
      </c>
      <c r="E35" s="27">
        <v>8150</v>
      </c>
      <c r="F35" s="27">
        <v>8800</v>
      </c>
      <c r="G35" s="27">
        <v>9000</v>
      </c>
      <c r="H35" s="115">
        <v>13165</v>
      </c>
      <c r="I35" s="115">
        <v>13165</v>
      </c>
      <c r="J35" s="115">
        <f t="shared" si="10"/>
        <v>13165</v>
      </c>
      <c r="K35" s="143">
        <f t="shared" si="0"/>
        <v>13165</v>
      </c>
      <c r="L35" s="143">
        <v>13400</v>
      </c>
      <c r="M35" s="143">
        <f t="shared" si="11"/>
        <v>14740.000000000002</v>
      </c>
      <c r="N35" s="143">
        <f t="shared" si="12"/>
        <v>14740.000000000002</v>
      </c>
      <c r="O35" s="143">
        <f t="shared" si="13"/>
        <v>14740.000000000002</v>
      </c>
      <c r="P35" s="143">
        <f t="shared" si="14"/>
        <v>14740.000000000002</v>
      </c>
      <c r="Q35" s="279">
        <f t="shared" si="15"/>
        <v>14740.000000000002</v>
      </c>
      <c r="R35" s="1555"/>
      <c r="S35" s="839">
        <v>16400</v>
      </c>
      <c r="T35" s="1012">
        <v>16470</v>
      </c>
      <c r="U35" s="1012">
        <v>15808</v>
      </c>
      <c r="V35" s="839">
        <f t="shared" si="16"/>
        <v>16598</v>
      </c>
      <c r="W35" s="883">
        <f t="shared" si="17"/>
        <v>0</v>
      </c>
      <c r="X35" s="839"/>
      <c r="Y35" s="839"/>
    </row>
    <row r="36" spans="1:25" ht="19.5">
      <c r="A36" s="1303">
        <v>6.12</v>
      </c>
      <c r="B36" s="240" t="s">
        <v>1828</v>
      </c>
      <c r="C36" s="236" t="s">
        <v>1771</v>
      </c>
      <c r="D36" s="26"/>
      <c r="E36" s="27">
        <v>9560</v>
      </c>
      <c r="F36" s="27">
        <v>10000</v>
      </c>
      <c r="G36" s="27">
        <v>10560</v>
      </c>
      <c r="H36" s="115">
        <v>16120</v>
      </c>
      <c r="I36" s="115">
        <v>16120</v>
      </c>
      <c r="J36" s="115">
        <f t="shared" si="10"/>
        <v>16120</v>
      </c>
      <c r="K36" s="143">
        <f t="shared" si="0"/>
        <v>16120</v>
      </c>
      <c r="L36" s="143">
        <v>16500</v>
      </c>
      <c r="M36" s="143">
        <f t="shared" si="11"/>
        <v>18150</v>
      </c>
      <c r="N36" s="143">
        <f t="shared" si="12"/>
        <v>18150</v>
      </c>
      <c r="O36" s="143">
        <f t="shared" si="13"/>
        <v>18150</v>
      </c>
      <c r="P36" s="143">
        <f t="shared" si="14"/>
        <v>18150</v>
      </c>
      <c r="Q36" s="279">
        <f t="shared" si="15"/>
        <v>18150</v>
      </c>
      <c r="R36" s="1555"/>
      <c r="S36" s="839">
        <v>20000</v>
      </c>
      <c r="T36" s="1012">
        <v>20050</v>
      </c>
      <c r="U36" s="1012">
        <v>18533</v>
      </c>
      <c r="V36" s="839">
        <f t="shared" si="16"/>
        <v>19459</v>
      </c>
      <c r="W36" s="883">
        <f t="shared" si="17"/>
        <v>0</v>
      </c>
      <c r="X36" s="839"/>
      <c r="Y36" s="839"/>
    </row>
    <row r="37" spans="1:25" ht="19.5">
      <c r="A37" s="1302">
        <v>6.13</v>
      </c>
      <c r="B37" s="240" t="s">
        <v>1829</v>
      </c>
      <c r="C37" s="236" t="s">
        <v>1771</v>
      </c>
      <c r="D37" s="26"/>
      <c r="E37" s="27"/>
      <c r="F37" s="27"/>
      <c r="G37" s="27">
        <v>15500</v>
      </c>
      <c r="H37" s="115">
        <v>24715</v>
      </c>
      <c r="I37" s="115">
        <v>24715</v>
      </c>
      <c r="J37" s="115">
        <f t="shared" si="10"/>
        <v>24715</v>
      </c>
      <c r="K37" s="143">
        <f t="shared" si="0"/>
        <v>24715</v>
      </c>
      <c r="L37" s="143">
        <v>25000</v>
      </c>
      <c r="M37" s="143">
        <f t="shared" si="11"/>
        <v>27500.000000000004</v>
      </c>
      <c r="N37" s="143">
        <f t="shared" si="12"/>
        <v>27500.000000000004</v>
      </c>
      <c r="O37" s="143">
        <f t="shared" si="13"/>
        <v>27500.000000000004</v>
      </c>
      <c r="P37" s="143">
        <f t="shared" si="14"/>
        <v>27500.000000000004</v>
      </c>
      <c r="Q37" s="279">
        <f t="shared" si="15"/>
        <v>27500.000000000004</v>
      </c>
      <c r="R37" s="1555"/>
      <c r="S37" s="839">
        <v>28300</v>
      </c>
      <c r="T37" s="1012">
        <v>28350</v>
      </c>
      <c r="U37" s="1012">
        <v>27253</v>
      </c>
      <c r="V37" s="839">
        <f t="shared" si="16"/>
        <v>28615</v>
      </c>
      <c r="W37" s="883">
        <f t="shared" si="17"/>
        <v>0</v>
      </c>
      <c r="X37" s="839"/>
      <c r="Y37" s="839"/>
    </row>
    <row r="38" spans="1:25" ht="19.5">
      <c r="A38" s="1303">
        <v>6.14</v>
      </c>
      <c r="B38" s="240" t="s">
        <v>1830</v>
      </c>
      <c r="C38" s="236" t="s">
        <v>1771</v>
      </c>
      <c r="D38" s="26">
        <v>455</v>
      </c>
      <c r="E38" s="27">
        <v>610</v>
      </c>
      <c r="F38" s="27">
        <v>640</v>
      </c>
      <c r="G38" s="27">
        <v>680</v>
      </c>
      <c r="H38" s="115">
        <v>655</v>
      </c>
      <c r="I38" s="115">
        <v>655</v>
      </c>
      <c r="J38" s="115">
        <f t="shared" si="10"/>
        <v>655</v>
      </c>
      <c r="K38" s="143">
        <f t="shared" si="0"/>
        <v>655</v>
      </c>
      <c r="L38" s="143">
        <v>700</v>
      </c>
      <c r="M38" s="143">
        <f t="shared" si="11"/>
        <v>770.00000000000011</v>
      </c>
      <c r="N38" s="143">
        <f t="shared" si="12"/>
        <v>770.00000000000011</v>
      </c>
      <c r="O38" s="143">
        <f t="shared" si="13"/>
        <v>770.00000000000011</v>
      </c>
      <c r="P38" s="143">
        <f t="shared" si="14"/>
        <v>770.00000000000011</v>
      </c>
      <c r="Q38" s="279">
        <f t="shared" si="15"/>
        <v>770.00000000000011</v>
      </c>
      <c r="R38" s="1555"/>
      <c r="S38" s="839">
        <v>1000</v>
      </c>
      <c r="T38" s="1012">
        <v>1025</v>
      </c>
      <c r="U38" s="1012">
        <v>856</v>
      </c>
      <c r="V38" s="839">
        <f t="shared" si="16"/>
        <v>898</v>
      </c>
      <c r="W38" s="883">
        <f t="shared" si="17"/>
        <v>0</v>
      </c>
      <c r="X38" s="839"/>
      <c r="Y38" s="839"/>
    </row>
    <row r="39" spans="1:25" ht="19.5">
      <c r="A39" s="1302">
        <v>6.15</v>
      </c>
      <c r="B39" s="240" t="s">
        <v>1831</v>
      </c>
      <c r="C39" s="236" t="s">
        <v>1771</v>
      </c>
      <c r="D39" s="26">
        <v>455</v>
      </c>
      <c r="E39" s="27">
        <v>610</v>
      </c>
      <c r="F39" s="27">
        <v>640</v>
      </c>
      <c r="G39" s="27">
        <v>680</v>
      </c>
      <c r="H39" s="115">
        <v>875</v>
      </c>
      <c r="I39" s="115">
        <v>875</v>
      </c>
      <c r="J39" s="115">
        <f t="shared" si="10"/>
        <v>875</v>
      </c>
      <c r="K39" s="143">
        <f t="shared" si="0"/>
        <v>875</v>
      </c>
      <c r="L39" s="143">
        <v>900</v>
      </c>
      <c r="M39" s="143">
        <f t="shared" si="11"/>
        <v>990.00000000000011</v>
      </c>
      <c r="N39" s="143">
        <f t="shared" si="12"/>
        <v>990.00000000000011</v>
      </c>
      <c r="O39" s="143">
        <f t="shared" si="13"/>
        <v>990.00000000000011</v>
      </c>
      <c r="P39" s="143">
        <f t="shared" si="14"/>
        <v>990.00000000000011</v>
      </c>
      <c r="Q39" s="279">
        <f t="shared" si="15"/>
        <v>990.00000000000011</v>
      </c>
      <c r="R39" s="1555"/>
      <c r="S39" s="839">
        <v>1100</v>
      </c>
      <c r="T39" s="1012">
        <v>1140</v>
      </c>
      <c r="U39" s="1012">
        <v>1024</v>
      </c>
      <c r="V39" s="839">
        <f t="shared" si="16"/>
        <v>1075</v>
      </c>
      <c r="W39" s="883">
        <f t="shared" si="17"/>
        <v>0</v>
      </c>
      <c r="X39" s="839"/>
      <c r="Y39" s="839"/>
    </row>
    <row r="40" spans="1:25" ht="19.5">
      <c r="A40" s="1303">
        <v>6.16</v>
      </c>
      <c r="B40" s="240" t="s">
        <v>1832</v>
      </c>
      <c r="C40" s="236" t="s">
        <v>1771</v>
      </c>
      <c r="D40" s="26">
        <v>455</v>
      </c>
      <c r="E40" s="27">
        <v>610</v>
      </c>
      <c r="F40" s="27">
        <v>640</v>
      </c>
      <c r="G40" s="27">
        <v>680</v>
      </c>
      <c r="H40" s="115">
        <v>1050</v>
      </c>
      <c r="I40" s="115">
        <v>1050</v>
      </c>
      <c r="J40" s="115">
        <f t="shared" si="10"/>
        <v>1050</v>
      </c>
      <c r="K40" s="143">
        <f t="shared" si="0"/>
        <v>1050</v>
      </c>
      <c r="L40" s="143">
        <v>1100</v>
      </c>
      <c r="M40" s="143">
        <f t="shared" si="11"/>
        <v>1210</v>
      </c>
      <c r="N40" s="143">
        <f t="shared" si="12"/>
        <v>1210</v>
      </c>
      <c r="O40" s="143">
        <f t="shared" si="13"/>
        <v>1210</v>
      </c>
      <c r="P40" s="143">
        <f t="shared" si="14"/>
        <v>1210</v>
      </c>
      <c r="Q40" s="279">
        <f t="shared" si="15"/>
        <v>1210</v>
      </c>
      <c r="R40" s="1555"/>
      <c r="S40" s="839">
        <v>1200</v>
      </c>
      <c r="T40" s="1012">
        <v>1250</v>
      </c>
      <c r="U40" s="1012">
        <v>1160</v>
      </c>
      <c r="V40" s="839">
        <f t="shared" si="16"/>
        <v>1218</v>
      </c>
      <c r="W40" s="883">
        <f t="shared" si="17"/>
        <v>0</v>
      </c>
      <c r="X40" s="839"/>
      <c r="Y40" s="839"/>
    </row>
    <row r="41" spans="1:25" ht="19.5">
      <c r="A41" s="1302">
        <v>6.17</v>
      </c>
      <c r="B41" s="240" t="s">
        <v>1833</v>
      </c>
      <c r="C41" s="236" t="s">
        <v>1771</v>
      </c>
      <c r="D41" s="26">
        <v>580</v>
      </c>
      <c r="E41" s="27">
        <v>720</v>
      </c>
      <c r="F41" s="27">
        <v>755</v>
      </c>
      <c r="G41" s="27">
        <v>800</v>
      </c>
      <c r="H41" s="115">
        <v>1235</v>
      </c>
      <c r="I41" s="115">
        <v>1235</v>
      </c>
      <c r="J41" s="115">
        <f t="shared" si="10"/>
        <v>1235</v>
      </c>
      <c r="K41" s="143">
        <f t="shared" si="0"/>
        <v>1235</v>
      </c>
      <c r="L41" s="143">
        <v>1350</v>
      </c>
      <c r="M41" s="143">
        <f t="shared" si="11"/>
        <v>1485.0000000000002</v>
      </c>
      <c r="N41" s="143">
        <f t="shared" si="12"/>
        <v>1485.0000000000002</v>
      </c>
      <c r="O41" s="143">
        <f t="shared" si="13"/>
        <v>1485.0000000000002</v>
      </c>
      <c r="P41" s="143">
        <f t="shared" si="14"/>
        <v>1485.0000000000002</v>
      </c>
      <c r="Q41" s="279">
        <f t="shared" si="15"/>
        <v>1485.0000000000002</v>
      </c>
      <c r="R41" s="1555"/>
      <c r="S41" s="839">
        <v>1500</v>
      </c>
      <c r="T41" s="1012">
        <v>1530</v>
      </c>
      <c r="U41" s="1012">
        <v>1365</v>
      </c>
      <c r="V41" s="839">
        <f t="shared" si="16"/>
        <v>1433</v>
      </c>
      <c r="W41" s="883">
        <f t="shared" si="17"/>
        <v>0</v>
      </c>
      <c r="X41" s="839"/>
      <c r="Y41" s="839"/>
    </row>
    <row r="42" spans="1:25" ht="19.5">
      <c r="A42" s="1303">
        <v>6.1800000000000104</v>
      </c>
      <c r="B42" s="240" t="s">
        <v>1834</v>
      </c>
      <c r="C42" s="236" t="s">
        <v>1771</v>
      </c>
      <c r="D42" s="26">
        <v>580</v>
      </c>
      <c r="E42" s="27"/>
      <c r="F42" s="27"/>
      <c r="G42" s="27">
        <v>1300</v>
      </c>
      <c r="H42" s="115">
        <v>2025</v>
      </c>
      <c r="I42" s="115">
        <v>2025</v>
      </c>
      <c r="J42" s="115">
        <f t="shared" si="10"/>
        <v>2025</v>
      </c>
      <c r="K42" s="143">
        <f t="shared" si="0"/>
        <v>2025</v>
      </c>
      <c r="L42" s="143">
        <v>2100</v>
      </c>
      <c r="M42" s="143">
        <f t="shared" si="11"/>
        <v>2310</v>
      </c>
      <c r="N42" s="143">
        <f t="shared" si="12"/>
        <v>2310</v>
      </c>
      <c r="O42" s="143">
        <f t="shared" si="13"/>
        <v>2310</v>
      </c>
      <c r="P42" s="143">
        <f t="shared" si="14"/>
        <v>2310</v>
      </c>
      <c r="Q42" s="279">
        <f t="shared" si="15"/>
        <v>2310</v>
      </c>
      <c r="R42" s="1555"/>
      <c r="S42" s="839">
        <v>2500</v>
      </c>
      <c r="T42" s="1012">
        <v>2550</v>
      </c>
      <c r="U42" s="1012">
        <v>2252</v>
      </c>
      <c r="V42" s="839">
        <f t="shared" si="16"/>
        <v>2364</v>
      </c>
      <c r="W42" s="883">
        <f t="shared" si="17"/>
        <v>0</v>
      </c>
      <c r="X42" s="839"/>
      <c r="Y42" s="839"/>
    </row>
    <row r="43" spans="1:25" ht="19.5">
      <c r="A43" s="1302">
        <v>6.1900000000000102</v>
      </c>
      <c r="B43" s="240" t="s">
        <v>1835</v>
      </c>
      <c r="C43" s="236" t="s">
        <v>1771</v>
      </c>
      <c r="D43" s="26">
        <v>745</v>
      </c>
      <c r="E43" s="27">
        <v>1390</v>
      </c>
      <c r="F43" s="27">
        <v>1450</v>
      </c>
      <c r="G43" s="27">
        <v>1540</v>
      </c>
      <c r="H43" s="115">
        <v>2125</v>
      </c>
      <c r="I43" s="115">
        <v>2125</v>
      </c>
      <c r="J43" s="115">
        <f t="shared" si="10"/>
        <v>2125</v>
      </c>
      <c r="K43" s="143">
        <f t="shared" si="0"/>
        <v>2125</v>
      </c>
      <c r="L43" s="143">
        <v>2200</v>
      </c>
      <c r="M43" s="143">
        <f t="shared" si="11"/>
        <v>2420</v>
      </c>
      <c r="N43" s="143">
        <f t="shared" si="12"/>
        <v>2420</v>
      </c>
      <c r="O43" s="143">
        <f t="shared" si="13"/>
        <v>2420</v>
      </c>
      <c r="P43" s="143">
        <f t="shared" si="14"/>
        <v>2420</v>
      </c>
      <c r="Q43" s="279">
        <f t="shared" si="15"/>
        <v>2420</v>
      </c>
      <c r="R43" s="1555"/>
      <c r="S43" s="839">
        <v>3200</v>
      </c>
      <c r="T43" s="1012">
        <v>3240</v>
      </c>
      <c r="U43" s="1012">
        <v>2657</v>
      </c>
      <c r="V43" s="839">
        <f t="shared" si="16"/>
        <v>2789</v>
      </c>
      <c r="W43" s="883">
        <f t="shared" si="17"/>
        <v>0</v>
      </c>
      <c r="X43" s="839"/>
      <c r="Y43" s="839"/>
    </row>
    <row r="44" spans="1:25" ht="37.15" customHeight="1">
      <c r="A44" s="236">
        <v>7</v>
      </c>
      <c r="B44" s="1351" t="s">
        <v>2661</v>
      </c>
      <c r="C44" s="236" t="s">
        <v>1772</v>
      </c>
      <c r="D44" s="38"/>
      <c r="E44" s="39">
        <v>10</v>
      </c>
      <c r="F44" s="39">
        <v>10</v>
      </c>
      <c r="G44" s="39">
        <f>F44</f>
        <v>10</v>
      </c>
      <c r="H44" s="143">
        <v>10</v>
      </c>
      <c r="I44" s="143">
        <v>10</v>
      </c>
      <c r="J44" s="115">
        <f t="shared" si="10"/>
        <v>10</v>
      </c>
      <c r="K44" s="143">
        <f t="shared" si="0"/>
        <v>10</v>
      </c>
      <c r="L44" s="143">
        <f t="shared" si="2"/>
        <v>10</v>
      </c>
      <c r="M44" s="143">
        <f t="shared" si="11"/>
        <v>11</v>
      </c>
      <c r="N44" s="143">
        <f t="shared" si="12"/>
        <v>11</v>
      </c>
      <c r="O44" s="143">
        <f t="shared" si="13"/>
        <v>11</v>
      </c>
      <c r="P44" s="143">
        <f t="shared" si="14"/>
        <v>11</v>
      </c>
      <c r="Q44" s="143">
        <f t="shared" ref="Q44" si="18">P44</f>
        <v>11</v>
      </c>
      <c r="R44" s="43"/>
      <c r="S44" s="839"/>
      <c r="T44" s="1012"/>
      <c r="U44" s="1012"/>
      <c r="V44" s="839"/>
      <c r="W44" s="839"/>
      <c r="X44" s="839"/>
      <c r="Y44" s="839"/>
    </row>
    <row r="45" spans="1:25" s="242" customFormat="1" ht="19.5">
      <c r="A45" s="1292">
        <v>8</v>
      </c>
      <c r="B45" s="459" t="s">
        <v>1836</v>
      </c>
      <c r="C45" s="460"/>
      <c r="D45" s="461"/>
      <c r="E45" s="462"/>
      <c r="F45" s="462"/>
      <c r="G45" s="462"/>
      <c r="H45" s="456"/>
      <c r="I45" s="456"/>
      <c r="J45" s="463"/>
      <c r="K45" s="456"/>
      <c r="L45" s="456"/>
      <c r="M45" s="456"/>
      <c r="N45" s="456"/>
      <c r="O45" s="456"/>
      <c r="P45" s="456"/>
      <c r="Q45" s="456"/>
      <c r="R45" s="377"/>
      <c r="S45" s="1283" t="s">
        <v>2629</v>
      </c>
      <c r="T45" s="1280" t="s">
        <v>2631</v>
      </c>
      <c r="U45" s="1311"/>
      <c r="V45" s="1312"/>
    </row>
    <row r="46" spans="1:25" ht="18" customHeight="1">
      <c r="A46" s="1293">
        <v>8.1</v>
      </c>
      <c r="B46" s="241" t="s">
        <v>2627</v>
      </c>
      <c r="C46" s="236" t="s">
        <v>1783</v>
      </c>
      <c r="D46" s="26"/>
      <c r="E46" s="27"/>
      <c r="F46" s="27"/>
      <c r="G46" s="27">
        <v>75</v>
      </c>
      <c r="H46" s="36">
        <v>90</v>
      </c>
      <c r="I46" s="36">
        <v>94.5</v>
      </c>
      <c r="J46" s="115">
        <f t="shared" si="10"/>
        <v>94.5</v>
      </c>
      <c r="K46" s="143">
        <f t="shared" si="0"/>
        <v>94.5</v>
      </c>
      <c r="L46" s="143">
        <f t="shared" si="2"/>
        <v>94.5</v>
      </c>
      <c r="M46" s="143">
        <f t="shared" si="11"/>
        <v>103.95</v>
      </c>
      <c r="N46" s="143">
        <f t="shared" si="12"/>
        <v>103.95</v>
      </c>
      <c r="O46" s="143">
        <f t="shared" si="13"/>
        <v>103.95</v>
      </c>
      <c r="P46" s="143">
        <f>O46</f>
        <v>103.95</v>
      </c>
      <c r="Q46" s="143">
        <f>P46</f>
        <v>103.95</v>
      </c>
      <c r="R46" s="1299"/>
      <c r="S46" s="942">
        <v>85</v>
      </c>
      <c r="T46" s="875" t="s">
        <v>2632</v>
      </c>
      <c r="U46" s="1313" t="s">
        <v>2633</v>
      </c>
      <c r="V46" s="1314" t="s">
        <v>2635</v>
      </c>
    </row>
    <row r="47" spans="1:25" ht="21" customHeight="1">
      <c r="A47" s="1304">
        <v>8.1999999999999993</v>
      </c>
      <c r="B47" s="241" t="s">
        <v>2628</v>
      </c>
      <c r="C47" s="236" t="s">
        <v>1783</v>
      </c>
      <c r="D47" s="53"/>
      <c r="E47" s="27"/>
      <c r="F47" s="27"/>
      <c r="G47" s="27"/>
      <c r="H47" s="36">
        <v>95</v>
      </c>
      <c r="I47" s="36">
        <v>99.75</v>
      </c>
      <c r="J47" s="115">
        <f t="shared" si="10"/>
        <v>99.75</v>
      </c>
      <c r="K47" s="143">
        <f t="shared" si="0"/>
        <v>99.75</v>
      </c>
      <c r="L47" s="143">
        <f t="shared" si="2"/>
        <v>99.75</v>
      </c>
      <c r="M47" s="143">
        <f t="shared" si="11"/>
        <v>109.72500000000001</v>
      </c>
      <c r="N47" s="143">
        <f t="shared" si="12"/>
        <v>109.72500000000001</v>
      </c>
      <c r="O47" s="143">
        <f t="shared" si="13"/>
        <v>109.72500000000001</v>
      </c>
      <c r="P47" s="143">
        <f>O47</f>
        <v>109.72500000000001</v>
      </c>
      <c r="Q47" s="279">
        <v>120</v>
      </c>
      <c r="R47" s="1299"/>
      <c r="S47" s="942">
        <v>130</v>
      </c>
      <c r="T47" s="875" t="s">
        <v>2630</v>
      </c>
      <c r="U47" s="1313" t="s">
        <v>2634</v>
      </c>
      <c r="V47" s="1314" t="s">
        <v>2636</v>
      </c>
    </row>
    <row r="48" spans="1:25" s="242" customFormat="1" ht="36" customHeight="1">
      <c r="A48" s="1305">
        <v>9</v>
      </c>
      <c r="B48" s="379" t="s">
        <v>1782</v>
      </c>
      <c r="C48" s="328"/>
      <c r="D48" s="376"/>
      <c r="E48" s="377"/>
      <c r="F48" s="377"/>
      <c r="G48" s="377"/>
      <c r="H48" s="463"/>
      <c r="I48" s="463"/>
      <c r="J48" s="463"/>
      <c r="K48" s="456"/>
      <c r="L48" s="456"/>
      <c r="M48" s="456"/>
      <c r="N48" s="456"/>
      <c r="O48" s="456"/>
      <c r="P48" s="456"/>
      <c r="Q48" s="456"/>
      <c r="R48" s="1306"/>
      <c r="T48" s="1262" t="s">
        <v>2322</v>
      </c>
      <c r="U48" s="1262" t="s">
        <v>2482</v>
      </c>
      <c r="V48" s="1263" t="s">
        <v>2570</v>
      </c>
      <c r="W48" s="1263" t="s">
        <v>2569</v>
      </c>
      <c r="X48" s="1263" t="s">
        <v>2609</v>
      </c>
      <c r="Y48" s="1263" t="s">
        <v>2610</v>
      </c>
    </row>
    <row r="49" spans="1:25" ht="19.5">
      <c r="A49" s="276">
        <v>9.1</v>
      </c>
      <c r="B49" s="72" t="s">
        <v>1446</v>
      </c>
      <c r="C49" s="236" t="s">
        <v>1784</v>
      </c>
      <c r="D49" s="25"/>
      <c r="E49" s="117"/>
      <c r="F49" s="117"/>
      <c r="G49" s="117"/>
      <c r="H49" s="117" t="s">
        <v>379</v>
      </c>
      <c r="I49" s="117" t="str">
        <f>H49</f>
        <v>-</v>
      </c>
      <c r="J49" s="117" t="str">
        <f>I49</f>
        <v>-</v>
      </c>
      <c r="K49" s="117" t="str">
        <f>J49</f>
        <v>-</v>
      </c>
      <c r="L49" s="143">
        <v>21685</v>
      </c>
      <c r="M49" s="143">
        <f t="shared" si="11"/>
        <v>23853.500000000004</v>
      </c>
      <c r="N49" s="143">
        <f t="shared" si="12"/>
        <v>23853.500000000004</v>
      </c>
      <c r="O49" s="279">
        <v>20384</v>
      </c>
      <c r="P49" s="279">
        <v>19400</v>
      </c>
      <c r="Q49" s="279">
        <v>19900</v>
      </c>
      <c r="R49" s="1556"/>
      <c r="S49" s="1611" t="s">
        <v>2038</v>
      </c>
      <c r="T49" s="1012">
        <v>20000</v>
      </c>
      <c r="U49" s="1012"/>
      <c r="V49" s="839">
        <v>20353.98</v>
      </c>
      <c r="W49" s="839">
        <v>22200</v>
      </c>
      <c r="X49" s="1012">
        <f t="shared" ref="X49:X59" si="19">W49-Q49</f>
        <v>2300</v>
      </c>
      <c r="Y49" s="155">
        <f t="shared" ref="Y49:Y59" si="20">V49-Q49</f>
        <v>453.97999999999956</v>
      </c>
    </row>
    <row r="50" spans="1:25" ht="19.5">
      <c r="A50" s="276">
        <v>9.1999999999999993</v>
      </c>
      <c r="B50" s="72" t="s">
        <v>1447</v>
      </c>
      <c r="C50" s="236" t="s">
        <v>1784</v>
      </c>
      <c r="D50" s="25"/>
      <c r="E50" s="117"/>
      <c r="F50" s="117"/>
      <c r="G50" s="117"/>
      <c r="H50" s="117" t="s">
        <v>379</v>
      </c>
      <c r="I50" s="117" t="str">
        <f t="shared" ref="I50:K59" si="21">H50</f>
        <v>-</v>
      </c>
      <c r="J50" s="117" t="str">
        <f t="shared" si="21"/>
        <v>-</v>
      </c>
      <c r="K50" s="117" t="str">
        <f t="shared" si="21"/>
        <v>-</v>
      </c>
      <c r="L50" s="143">
        <v>21240</v>
      </c>
      <c r="M50" s="143">
        <f t="shared" si="11"/>
        <v>23364.000000000004</v>
      </c>
      <c r="N50" s="143">
        <f t="shared" si="12"/>
        <v>23364.000000000004</v>
      </c>
      <c r="O50" s="279">
        <v>19966</v>
      </c>
      <c r="P50" s="279">
        <v>18200</v>
      </c>
      <c r="Q50" s="279">
        <v>19000</v>
      </c>
      <c r="R50" s="1556"/>
      <c r="S50" s="1611"/>
      <c r="T50" s="1012">
        <v>19500</v>
      </c>
      <c r="U50" s="1012"/>
      <c r="V50" s="839">
        <v>19026.55</v>
      </c>
      <c r="W50" s="839">
        <v>21100</v>
      </c>
      <c r="X50" s="1012">
        <f t="shared" si="19"/>
        <v>2100</v>
      </c>
      <c r="Y50" s="155">
        <f t="shared" si="20"/>
        <v>26.549999999999272</v>
      </c>
    </row>
    <row r="51" spans="1:25" ht="19.5">
      <c r="A51" s="276">
        <v>9.3000000000000007</v>
      </c>
      <c r="B51" s="72" t="s">
        <v>1448</v>
      </c>
      <c r="C51" s="236" t="s">
        <v>1784</v>
      </c>
      <c r="D51" s="25"/>
      <c r="E51" s="117"/>
      <c r="F51" s="117"/>
      <c r="G51" s="117"/>
      <c r="H51" s="117" t="s">
        <v>379</v>
      </c>
      <c r="I51" s="117" t="str">
        <f t="shared" si="21"/>
        <v>-</v>
      </c>
      <c r="J51" s="117" t="str">
        <f t="shared" si="21"/>
        <v>-</v>
      </c>
      <c r="K51" s="117" t="str">
        <f t="shared" si="21"/>
        <v>-</v>
      </c>
      <c r="L51" s="143">
        <v>20355</v>
      </c>
      <c r="M51" s="143">
        <f t="shared" si="11"/>
        <v>22390.5</v>
      </c>
      <c r="N51" s="143">
        <f t="shared" si="12"/>
        <v>22390.5</v>
      </c>
      <c r="O51" s="279">
        <v>19134</v>
      </c>
      <c r="P51" s="279">
        <v>17100</v>
      </c>
      <c r="Q51" s="279">
        <v>17800</v>
      </c>
      <c r="R51" s="1556"/>
      <c r="S51" s="1611"/>
      <c r="T51" s="1012">
        <v>19000</v>
      </c>
      <c r="U51" s="1012"/>
      <c r="V51" s="839">
        <v>17876.11</v>
      </c>
      <c r="W51" s="839">
        <v>20200</v>
      </c>
      <c r="X51" s="1012">
        <f t="shared" si="19"/>
        <v>2400</v>
      </c>
      <c r="Y51" s="155">
        <f t="shared" si="20"/>
        <v>76.110000000000582</v>
      </c>
    </row>
    <row r="52" spans="1:25" ht="19.5">
      <c r="A52" s="276">
        <v>9.4</v>
      </c>
      <c r="B52" s="72" t="s">
        <v>1449</v>
      </c>
      <c r="C52" s="236" t="s">
        <v>1784</v>
      </c>
      <c r="D52" s="25"/>
      <c r="E52" s="117"/>
      <c r="F52" s="117"/>
      <c r="G52" s="117"/>
      <c r="H52" s="117" t="s">
        <v>379</v>
      </c>
      <c r="I52" s="117" t="str">
        <f t="shared" si="21"/>
        <v>-</v>
      </c>
      <c r="J52" s="117" t="str">
        <f t="shared" si="21"/>
        <v>-</v>
      </c>
      <c r="K52" s="117" t="str">
        <f t="shared" si="21"/>
        <v>-</v>
      </c>
      <c r="L52" s="143">
        <v>19470</v>
      </c>
      <c r="M52" s="143">
        <f t="shared" si="11"/>
        <v>21417</v>
      </c>
      <c r="N52" s="143">
        <f t="shared" si="12"/>
        <v>21417</v>
      </c>
      <c r="O52" s="279">
        <v>18301</v>
      </c>
      <c r="P52" s="279">
        <v>16000</v>
      </c>
      <c r="Q52" s="279">
        <v>16500</v>
      </c>
      <c r="R52" s="1556"/>
      <c r="S52" s="1611"/>
      <c r="T52" s="1012">
        <v>18500</v>
      </c>
      <c r="U52" s="1012"/>
      <c r="V52" s="839">
        <v>16371.68</v>
      </c>
      <c r="W52" s="839">
        <v>18100</v>
      </c>
      <c r="X52" s="1012">
        <f t="shared" si="19"/>
        <v>1600</v>
      </c>
      <c r="Y52" s="155">
        <f t="shared" si="20"/>
        <v>-128.31999999999971</v>
      </c>
    </row>
    <row r="53" spans="1:25" ht="19.5">
      <c r="A53" s="276">
        <v>9.5</v>
      </c>
      <c r="B53" s="72" t="s">
        <v>1450</v>
      </c>
      <c r="C53" s="236" t="s">
        <v>1784</v>
      </c>
      <c r="D53" s="25"/>
      <c r="E53" s="117"/>
      <c r="F53" s="117"/>
      <c r="G53" s="117"/>
      <c r="H53" s="117" t="s">
        <v>379</v>
      </c>
      <c r="I53" s="117" t="str">
        <f t="shared" si="21"/>
        <v>-</v>
      </c>
      <c r="J53" s="117" t="str">
        <f t="shared" si="21"/>
        <v>-</v>
      </c>
      <c r="K53" s="117" t="str">
        <f t="shared" si="21"/>
        <v>-</v>
      </c>
      <c r="L53" s="143">
        <v>18585</v>
      </c>
      <c r="M53" s="143">
        <f t="shared" si="11"/>
        <v>20443.5</v>
      </c>
      <c r="N53" s="143">
        <f t="shared" si="12"/>
        <v>20443.5</v>
      </c>
      <c r="O53" s="279">
        <v>17470</v>
      </c>
      <c r="P53" s="279">
        <v>15200</v>
      </c>
      <c r="Q53" s="279">
        <v>15700</v>
      </c>
      <c r="R53" s="1556"/>
      <c r="S53" s="1611"/>
      <c r="T53" s="1012">
        <v>18000</v>
      </c>
      <c r="U53" s="1012"/>
      <c r="V53" s="839">
        <v>15752.21</v>
      </c>
      <c r="W53" s="839">
        <v>16800</v>
      </c>
      <c r="X53" s="1012">
        <f t="shared" si="19"/>
        <v>1100</v>
      </c>
      <c r="Y53" s="155">
        <f t="shared" si="20"/>
        <v>52.209999999999127</v>
      </c>
    </row>
    <row r="54" spans="1:25" ht="19.5">
      <c r="A54" s="276">
        <v>9.6</v>
      </c>
      <c r="B54" s="72" t="s">
        <v>1451</v>
      </c>
      <c r="C54" s="236" t="s">
        <v>1784</v>
      </c>
      <c r="D54" s="25"/>
      <c r="E54" s="117"/>
      <c r="F54" s="117"/>
      <c r="G54" s="117"/>
      <c r="H54" s="117" t="s">
        <v>379</v>
      </c>
      <c r="I54" s="117" t="str">
        <f t="shared" si="21"/>
        <v>-</v>
      </c>
      <c r="J54" s="117" t="str">
        <f t="shared" si="21"/>
        <v>-</v>
      </c>
      <c r="K54" s="117" t="str">
        <f t="shared" si="21"/>
        <v>-</v>
      </c>
      <c r="L54" s="143">
        <v>17700</v>
      </c>
      <c r="M54" s="143">
        <f t="shared" si="11"/>
        <v>19470</v>
      </c>
      <c r="N54" s="143">
        <f t="shared" si="12"/>
        <v>19470</v>
      </c>
      <c r="O54" s="279">
        <v>16638</v>
      </c>
      <c r="P54" s="279">
        <v>14500</v>
      </c>
      <c r="Q54" s="279">
        <v>15000</v>
      </c>
      <c r="R54" s="1556"/>
      <c r="S54" s="1611"/>
      <c r="T54" s="1012">
        <v>16500</v>
      </c>
      <c r="U54" s="1012">
        <v>15500</v>
      </c>
      <c r="V54" s="839">
        <v>14867.26</v>
      </c>
      <c r="W54" s="839">
        <v>15700</v>
      </c>
      <c r="X54" s="1012">
        <f t="shared" si="19"/>
        <v>700</v>
      </c>
      <c r="Y54" s="155">
        <f t="shared" si="20"/>
        <v>-132.73999999999978</v>
      </c>
    </row>
    <row r="55" spans="1:25" ht="19.5">
      <c r="A55" s="276">
        <v>9.6999999999999993</v>
      </c>
      <c r="B55" s="72" t="s">
        <v>1452</v>
      </c>
      <c r="C55" s="236" t="s">
        <v>1784</v>
      </c>
      <c r="D55" s="25"/>
      <c r="E55" s="117"/>
      <c r="F55" s="117"/>
      <c r="G55" s="117"/>
      <c r="H55" s="117" t="s">
        <v>379</v>
      </c>
      <c r="I55" s="117" t="str">
        <f t="shared" si="21"/>
        <v>-</v>
      </c>
      <c r="J55" s="117" t="str">
        <f t="shared" si="21"/>
        <v>-</v>
      </c>
      <c r="K55" s="117" t="str">
        <f t="shared" si="21"/>
        <v>-</v>
      </c>
      <c r="L55" s="143">
        <v>17260</v>
      </c>
      <c r="M55" s="143">
        <f t="shared" si="11"/>
        <v>18986</v>
      </c>
      <c r="N55" s="143">
        <f t="shared" si="12"/>
        <v>18986</v>
      </c>
      <c r="O55" s="279">
        <v>16224</v>
      </c>
      <c r="P55" s="279">
        <v>13500</v>
      </c>
      <c r="Q55" s="279">
        <v>14000</v>
      </c>
      <c r="R55" s="1556"/>
      <c r="S55" s="1611"/>
      <c r="T55" s="1012">
        <v>16000</v>
      </c>
      <c r="U55" s="1012">
        <v>14500</v>
      </c>
      <c r="V55" s="839">
        <v>13982.3</v>
      </c>
      <c r="W55" s="839">
        <v>14600</v>
      </c>
      <c r="X55" s="1012">
        <f t="shared" si="19"/>
        <v>600</v>
      </c>
      <c r="Y55" s="155">
        <f t="shared" si="20"/>
        <v>-17.700000000000728</v>
      </c>
    </row>
    <row r="56" spans="1:25" ht="19.5">
      <c r="A56" s="276">
        <v>9.8000000000000007</v>
      </c>
      <c r="B56" s="72" t="s">
        <v>1453</v>
      </c>
      <c r="C56" s="236" t="s">
        <v>1784</v>
      </c>
      <c r="D56" s="25"/>
      <c r="E56" s="117"/>
      <c r="F56" s="117"/>
      <c r="G56" s="117"/>
      <c r="H56" s="117" t="s">
        <v>379</v>
      </c>
      <c r="I56" s="117" t="str">
        <f t="shared" si="21"/>
        <v>-</v>
      </c>
      <c r="J56" s="117" t="str">
        <f t="shared" si="21"/>
        <v>-</v>
      </c>
      <c r="K56" s="117" t="str">
        <f t="shared" si="21"/>
        <v>-</v>
      </c>
      <c r="L56" s="143">
        <v>14490</v>
      </c>
      <c r="M56" s="143">
        <f t="shared" si="11"/>
        <v>15939.000000000002</v>
      </c>
      <c r="N56" s="143">
        <f t="shared" si="12"/>
        <v>15939.000000000002</v>
      </c>
      <c r="O56" s="279">
        <v>13621</v>
      </c>
      <c r="P56" s="279">
        <v>12600</v>
      </c>
      <c r="Q56" s="279">
        <v>13000</v>
      </c>
      <c r="R56" s="1556"/>
      <c r="S56" s="1611"/>
      <c r="T56" s="1012">
        <v>14000</v>
      </c>
      <c r="U56" s="1012">
        <v>13500</v>
      </c>
      <c r="V56" s="839">
        <v>13097.35</v>
      </c>
      <c r="W56" s="839">
        <v>13500</v>
      </c>
      <c r="X56" s="1012">
        <f t="shared" si="19"/>
        <v>500</v>
      </c>
      <c r="Y56" s="155">
        <f t="shared" si="20"/>
        <v>97.350000000000364</v>
      </c>
    </row>
    <row r="57" spans="1:25" ht="19.5">
      <c r="A57" s="276">
        <v>9.9</v>
      </c>
      <c r="B57" s="72" t="s">
        <v>1454</v>
      </c>
      <c r="C57" s="236" t="s">
        <v>1784</v>
      </c>
      <c r="D57" s="25"/>
      <c r="E57" s="117"/>
      <c r="F57" s="117"/>
      <c r="G57" s="117"/>
      <c r="H57" s="117" t="s">
        <v>379</v>
      </c>
      <c r="I57" s="117" t="str">
        <f t="shared" si="21"/>
        <v>-</v>
      </c>
      <c r="J57" s="117" t="str">
        <f t="shared" si="21"/>
        <v>-</v>
      </c>
      <c r="K57" s="117" t="str">
        <f t="shared" si="21"/>
        <v>-</v>
      </c>
      <c r="L57" s="143">
        <v>13720</v>
      </c>
      <c r="M57" s="143">
        <f t="shared" si="11"/>
        <v>15092.000000000002</v>
      </c>
      <c r="N57" s="143">
        <f t="shared" si="12"/>
        <v>15092.000000000002</v>
      </c>
      <c r="O57" s="279">
        <v>12897</v>
      </c>
      <c r="P57" s="279">
        <v>11700</v>
      </c>
      <c r="Q57" s="279">
        <v>12000</v>
      </c>
      <c r="R57" s="1556"/>
      <c r="S57" s="1611"/>
      <c r="T57" s="1012">
        <v>13000</v>
      </c>
      <c r="U57" s="1012">
        <v>12000</v>
      </c>
      <c r="V57" s="839">
        <v>12212.39</v>
      </c>
      <c r="W57" s="839">
        <v>12400</v>
      </c>
      <c r="X57" s="1012">
        <f t="shared" si="19"/>
        <v>400</v>
      </c>
      <c r="Y57" s="155">
        <f t="shared" si="20"/>
        <v>212.38999999999942</v>
      </c>
    </row>
    <row r="58" spans="1:25" ht="19.5">
      <c r="A58" s="276">
        <v>9.1</v>
      </c>
      <c r="B58" s="72" t="s">
        <v>1455</v>
      </c>
      <c r="C58" s="236" t="s">
        <v>1784</v>
      </c>
      <c r="D58" s="25"/>
      <c r="E58" s="117"/>
      <c r="F58" s="117"/>
      <c r="G58" s="117"/>
      <c r="H58" s="117" t="s">
        <v>379</v>
      </c>
      <c r="I58" s="117" t="str">
        <f t="shared" si="21"/>
        <v>-</v>
      </c>
      <c r="J58" s="117" t="str">
        <f t="shared" si="21"/>
        <v>-</v>
      </c>
      <c r="K58" s="117" t="str">
        <f t="shared" si="21"/>
        <v>-</v>
      </c>
      <c r="L58" s="143">
        <v>12390</v>
      </c>
      <c r="M58" s="143">
        <f t="shared" si="11"/>
        <v>13629.000000000002</v>
      </c>
      <c r="N58" s="143">
        <f t="shared" si="12"/>
        <v>13629.000000000002</v>
      </c>
      <c r="O58" s="279">
        <v>11647</v>
      </c>
      <c r="P58" s="279">
        <v>11000</v>
      </c>
      <c r="Q58" s="279">
        <f t="shared" ref="Q58" si="22">P58</f>
        <v>11000</v>
      </c>
      <c r="R58" s="1556"/>
      <c r="S58" s="1611"/>
      <c r="T58" s="1012">
        <v>12000</v>
      </c>
      <c r="U58" s="1012">
        <v>10500</v>
      </c>
      <c r="V58" s="839">
        <v>10619.47</v>
      </c>
      <c r="W58" s="839">
        <v>11400</v>
      </c>
      <c r="X58" s="1012">
        <f t="shared" si="19"/>
        <v>400</v>
      </c>
      <c r="Y58" s="155">
        <f t="shared" si="20"/>
        <v>-380.53000000000065</v>
      </c>
    </row>
    <row r="59" spans="1:25" ht="19.5">
      <c r="A59" s="276">
        <v>9.11</v>
      </c>
      <c r="B59" s="72" t="s">
        <v>1456</v>
      </c>
      <c r="C59" s="236" t="s">
        <v>1784</v>
      </c>
      <c r="D59" s="25"/>
      <c r="E59" s="117"/>
      <c r="F59" s="117"/>
      <c r="G59" s="117"/>
      <c r="H59" s="117" t="s">
        <v>379</v>
      </c>
      <c r="I59" s="117" t="str">
        <f t="shared" si="21"/>
        <v>-</v>
      </c>
      <c r="J59" s="117" t="str">
        <f t="shared" si="21"/>
        <v>-</v>
      </c>
      <c r="K59" s="117" t="str">
        <f t="shared" si="21"/>
        <v>-</v>
      </c>
      <c r="L59" s="143">
        <v>11065</v>
      </c>
      <c r="M59" s="143">
        <f t="shared" si="11"/>
        <v>12171.500000000002</v>
      </c>
      <c r="N59" s="143">
        <f t="shared" si="12"/>
        <v>12171.500000000002</v>
      </c>
      <c r="O59" s="279">
        <v>10401</v>
      </c>
      <c r="P59" s="279">
        <v>10400</v>
      </c>
      <c r="Q59" s="279">
        <v>10200</v>
      </c>
      <c r="R59" s="1556"/>
      <c r="S59" s="1611"/>
      <c r="T59" s="1012">
        <v>11000</v>
      </c>
      <c r="U59" s="1012">
        <v>10000</v>
      </c>
      <c r="V59" s="839">
        <v>10176.99</v>
      </c>
      <c r="W59" s="839">
        <v>10300</v>
      </c>
      <c r="X59" s="1012">
        <f t="shared" si="19"/>
        <v>100</v>
      </c>
      <c r="Y59" s="155">
        <f t="shared" si="20"/>
        <v>-23.010000000000218</v>
      </c>
    </row>
    <row r="60" spans="1:25" ht="39">
      <c r="A60" s="427">
        <v>10</v>
      </c>
      <c r="B60" s="458" t="s">
        <v>2250</v>
      </c>
      <c r="C60" s="379"/>
      <c r="D60" s="379"/>
      <c r="E60" s="379"/>
      <c r="F60" s="379"/>
      <c r="G60" s="379"/>
      <c r="H60" s="379"/>
      <c r="I60" s="379"/>
      <c r="J60" s="379"/>
      <c r="K60" s="379"/>
      <c r="L60" s="379"/>
      <c r="M60" s="379"/>
      <c r="N60" s="379"/>
      <c r="O60" s="379"/>
      <c r="P60" s="379"/>
      <c r="Q60" s="379"/>
      <c r="R60" s="379"/>
    </row>
    <row r="61" spans="1:25" ht="19.5">
      <c r="A61" s="276">
        <v>10.1</v>
      </c>
      <c r="B61" s="277" t="s">
        <v>1925</v>
      </c>
      <c r="C61" s="276" t="s">
        <v>1770</v>
      </c>
      <c r="D61" s="276"/>
      <c r="E61" s="278"/>
      <c r="F61" s="278"/>
      <c r="G61" s="278"/>
      <c r="H61" s="278"/>
      <c r="I61" s="278"/>
      <c r="J61" s="278"/>
      <c r="K61" s="278"/>
      <c r="L61" s="278"/>
      <c r="M61" s="278"/>
      <c r="N61" s="1025" t="s">
        <v>2160</v>
      </c>
      <c r="O61" s="1025" t="s">
        <v>2160</v>
      </c>
      <c r="P61" s="279">
        <v>258</v>
      </c>
      <c r="Q61" s="279">
        <f>P61</f>
        <v>258</v>
      </c>
      <c r="R61" s="1307"/>
      <c r="S61" s="13" t="s">
        <v>2020</v>
      </c>
    </row>
    <row r="62" spans="1:25" ht="19.5">
      <c r="A62" s="276">
        <v>10.199999999999999</v>
      </c>
      <c r="B62" s="277" t="s">
        <v>1926</v>
      </c>
      <c r="C62" s="276" t="s">
        <v>1770</v>
      </c>
      <c r="D62" s="276"/>
      <c r="E62" s="278"/>
      <c r="F62" s="278"/>
      <c r="G62" s="278"/>
      <c r="H62" s="278"/>
      <c r="I62" s="278"/>
      <c r="J62" s="278"/>
      <c r="K62" s="278"/>
      <c r="L62" s="278"/>
      <c r="M62" s="278"/>
      <c r="N62" s="1025" t="s">
        <v>2160</v>
      </c>
      <c r="O62" s="1025" t="s">
        <v>2160</v>
      </c>
      <c r="P62" s="279">
        <v>252</v>
      </c>
      <c r="Q62" s="279">
        <f>P62</f>
        <v>252</v>
      </c>
      <c r="R62" s="1307"/>
      <c r="S62" s="13" t="s">
        <v>2020</v>
      </c>
    </row>
    <row r="63" spans="1:25" ht="19.5">
      <c r="A63" s="427">
        <v>11</v>
      </c>
      <c r="B63" s="457" t="s">
        <v>1927</v>
      </c>
      <c r="C63" s="427"/>
      <c r="D63" s="427"/>
      <c r="E63" s="427"/>
      <c r="F63" s="427"/>
      <c r="G63" s="427"/>
      <c r="H63" s="427"/>
      <c r="I63" s="427"/>
      <c r="J63" s="427"/>
      <c r="K63" s="427"/>
      <c r="L63" s="427"/>
      <c r="M63" s="427"/>
      <c r="N63" s="427"/>
      <c r="O63" s="427"/>
      <c r="P63" s="427"/>
      <c r="Q63" s="427"/>
      <c r="R63" s="332"/>
    </row>
    <row r="64" spans="1:25" ht="19.5">
      <c r="A64" s="276">
        <v>11.1</v>
      </c>
      <c r="B64" s="277" t="s">
        <v>2571</v>
      </c>
      <c r="C64" s="276" t="s">
        <v>2167</v>
      </c>
      <c r="D64" s="276"/>
      <c r="E64" s="278"/>
      <c r="F64" s="278"/>
      <c r="G64" s="278"/>
      <c r="H64" s="278"/>
      <c r="I64" s="278"/>
      <c r="J64" s="278"/>
      <c r="K64" s="278"/>
      <c r="L64" s="278"/>
      <c r="M64" s="278"/>
      <c r="N64" s="1025" t="s">
        <v>2160</v>
      </c>
      <c r="O64" s="1025" t="s">
        <v>2160</v>
      </c>
      <c r="P64" s="279">
        <v>5583</v>
      </c>
      <c r="Q64" s="279">
        <f>P64</f>
        <v>5583</v>
      </c>
      <c r="R64" s="1307"/>
      <c r="S64" s="13" t="s">
        <v>2020</v>
      </c>
    </row>
    <row r="65" spans="1:23" ht="19.5">
      <c r="A65" s="276">
        <v>11.2</v>
      </c>
      <c r="B65" s="72" t="s">
        <v>1928</v>
      </c>
      <c r="C65" s="276" t="s">
        <v>1787</v>
      </c>
      <c r="D65" s="276"/>
      <c r="E65" s="278"/>
      <c r="F65" s="278"/>
      <c r="G65" s="278"/>
      <c r="H65" s="278"/>
      <c r="I65" s="278"/>
      <c r="J65" s="278"/>
      <c r="K65" s="278"/>
      <c r="L65" s="278"/>
      <c r="M65" s="278"/>
      <c r="N65" s="1025" t="s">
        <v>2160</v>
      </c>
      <c r="O65" s="1025" t="s">
        <v>2160</v>
      </c>
      <c r="P65" s="279">
        <v>618</v>
      </c>
      <c r="Q65" s="279">
        <f t="shared" ref="Q65:Q67" si="23">P65</f>
        <v>618</v>
      </c>
      <c r="R65" s="1307"/>
      <c r="S65" s="13" t="s">
        <v>2020</v>
      </c>
    </row>
    <row r="66" spans="1:23" ht="19.5">
      <c r="A66" s="276">
        <v>11.3</v>
      </c>
      <c r="B66" s="72" t="s">
        <v>1929</v>
      </c>
      <c r="C66" s="276" t="s">
        <v>1787</v>
      </c>
      <c r="D66" s="276"/>
      <c r="E66" s="278"/>
      <c r="F66" s="278"/>
      <c r="G66" s="278"/>
      <c r="H66" s="278"/>
      <c r="I66" s="278"/>
      <c r="J66" s="278"/>
      <c r="K66" s="278"/>
      <c r="L66" s="278"/>
      <c r="M66" s="278"/>
      <c r="N66" s="1025" t="s">
        <v>2160</v>
      </c>
      <c r="O66" s="1025" t="s">
        <v>2160</v>
      </c>
      <c r="P66" s="279">
        <v>793</v>
      </c>
      <c r="Q66" s="279">
        <f t="shared" si="23"/>
        <v>793</v>
      </c>
      <c r="R66" s="1307"/>
      <c r="S66" s="13" t="s">
        <v>2020</v>
      </c>
    </row>
    <row r="67" spans="1:23" ht="25.5">
      <c r="A67" s="276">
        <v>11.4</v>
      </c>
      <c r="B67" s="72" t="s">
        <v>1930</v>
      </c>
      <c r="C67" s="276" t="s">
        <v>1787</v>
      </c>
      <c r="D67" s="276"/>
      <c r="E67" s="278"/>
      <c r="F67" s="278"/>
      <c r="G67" s="278"/>
      <c r="H67" s="278"/>
      <c r="I67" s="278"/>
      <c r="J67" s="278"/>
      <c r="K67" s="278"/>
      <c r="L67" s="278"/>
      <c r="M67" s="278"/>
      <c r="N67" s="1025" t="s">
        <v>2160</v>
      </c>
      <c r="O67" s="1025" t="s">
        <v>2160</v>
      </c>
      <c r="P67" s="279">
        <v>3150</v>
      </c>
      <c r="Q67" s="279">
        <f t="shared" si="23"/>
        <v>3150</v>
      </c>
      <c r="R67" s="1307"/>
      <c r="S67" s="13" t="s">
        <v>2020</v>
      </c>
    </row>
    <row r="68" spans="1:23" s="242" customFormat="1" ht="19.5">
      <c r="A68" s="1308">
        <v>12</v>
      </c>
      <c r="B68" s="454" t="s">
        <v>1935</v>
      </c>
      <c r="C68" s="381"/>
      <c r="D68" s="381"/>
      <c r="E68" s="455"/>
      <c r="F68" s="455"/>
      <c r="G68" s="455"/>
      <c r="H68" s="455"/>
      <c r="I68" s="455"/>
      <c r="J68" s="455"/>
      <c r="K68" s="455"/>
      <c r="L68" s="455"/>
      <c r="M68" s="455"/>
      <c r="N68" s="455"/>
      <c r="O68" s="455"/>
      <c r="P68" s="456"/>
      <c r="Q68" s="456"/>
      <c r="R68" s="329"/>
      <c r="S68" s="1505" t="s">
        <v>1755</v>
      </c>
      <c r="T68" s="1505" t="s">
        <v>2165</v>
      </c>
      <c r="U68" s="1506" t="s">
        <v>2168</v>
      </c>
      <c r="W68" s="649"/>
    </row>
    <row r="69" spans="1:23" ht="19.5">
      <c r="A69" s="276">
        <v>12.1</v>
      </c>
      <c r="B69" s="210" t="s">
        <v>1936</v>
      </c>
      <c r="C69" s="276" t="s">
        <v>1787</v>
      </c>
      <c r="D69" s="276"/>
      <c r="E69" s="278"/>
      <c r="F69" s="278"/>
      <c r="G69" s="278"/>
      <c r="H69" s="278"/>
      <c r="I69" s="278"/>
      <c r="J69" s="278"/>
      <c r="K69" s="278"/>
      <c r="L69" s="278"/>
      <c r="M69" s="278"/>
      <c r="N69" s="1025" t="s">
        <v>2160</v>
      </c>
      <c r="O69" s="1025" t="s">
        <v>2160</v>
      </c>
      <c r="P69" s="279">
        <v>30000</v>
      </c>
      <c r="Q69" s="279">
        <v>32000</v>
      </c>
      <c r="R69" s="1307"/>
      <c r="S69" s="25">
        <v>50000</v>
      </c>
      <c r="T69" s="25">
        <v>34000</v>
      </c>
      <c r="U69" s="34">
        <f>AVERAGE(S69:T69)</f>
        <v>42000</v>
      </c>
    </row>
    <row r="70" spans="1:23" ht="19.5">
      <c r="A70" s="276">
        <v>12.2</v>
      </c>
      <c r="B70" s="210" t="s">
        <v>1937</v>
      </c>
      <c r="C70" s="276" t="s">
        <v>1787</v>
      </c>
      <c r="D70" s="276"/>
      <c r="E70" s="278"/>
      <c r="F70" s="278"/>
      <c r="G70" s="278"/>
      <c r="H70" s="278"/>
      <c r="I70" s="278"/>
      <c r="J70" s="278"/>
      <c r="K70" s="278"/>
      <c r="L70" s="278"/>
      <c r="M70" s="278"/>
      <c r="N70" s="1025" t="s">
        <v>2160</v>
      </c>
      <c r="O70" s="1025" t="s">
        <v>2160</v>
      </c>
      <c r="P70" s="279">
        <v>30000</v>
      </c>
      <c r="Q70" s="279">
        <v>32000</v>
      </c>
      <c r="R70" s="1307"/>
      <c r="S70" s="34">
        <v>50000</v>
      </c>
      <c r="T70" s="25">
        <v>36000</v>
      </c>
      <c r="U70" s="34">
        <f t="shared" ref="U70:U79" si="24">AVERAGE(S70:T70)</f>
        <v>43000</v>
      </c>
    </row>
    <row r="71" spans="1:23" s="242" customFormat="1" ht="19.5">
      <c r="A71" s="381">
        <v>13</v>
      </c>
      <c r="B71" s="454" t="s">
        <v>1938</v>
      </c>
      <c r="C71" s="381"/>
      <c r="D71" s="381"/>
      <c r="E71" s="455"/>
      <c r="F71" s="455"/>
      <c r="G71" s="455"/>
      <c r="H71" s="455"/>
      <c r="I71" s="455"/>
      <c r="J71" s="455"/>
      <c r="K71" s="455"/>
      <c r="L71" s="455"/>
      <c r="M71" s="455"/>
      <c r="N71" s="455"/>
      <c r="O71" s="455"/>
      <c r="P71" s="456"/>
      <c r="Q71" s="456"/>
      <c r="R71" s="329"/>
      <c r="S71" s="1507"/>
      <c r="T71" s="1507"/>
      <c r="U71" s="34"/>
      <c r="W71" s="13"/>
    </row>
    <row r="72" spans="1:23" ht="19.5">
      <c r="A72" s="276">
        <v>13.1</v>
      </c>
      <c r="B72" s="210" t="s">
        <v>1939</v>
      </c>
      <c r="C72" s="276" t="s">
        <v>1787</v>
      </c>
      <c r="D72" s="276"/>
      <c r="E72" s="278"/>
      <c r="F72" s="278"/>
      <c r="G72" s="278"/>
      <c r="H72" s="278"/>
      <c r="I72" s="278"/>
      <c r="J72" s="278"/>
      <c r="K72" s="278"/>
      <c r="L72" s="278"/>
      <c r="M72" s="278"/>
      <c r="N72" s="1025" t="s">
        <v>2160</v>
      </c>
      <c r="O72" s="1025" t="s">
        <v>2160</v>
      </c>
      <c r="P72" s="279">
        <v>125000</v>
      </c>
      <c r="Q72" s="279">
        <v>125000</v>
      </c>
      <c r="R72" s="1307"/>
      <c r="S72" s="34">
        <v>130000</v>
      </c>
      <c r="T72" s="34">
        <v>120000</v>
      </c>
      <c r="U72" s="34">
        <f t="shared" si="24"/>
        <v>125000</v>
      </c>
    </row>
    <row r="73" spans="1:23" ht="19.5">
      <c r="A73" s="276">
        <v>13.2</v>
      </c>
      <c r="B73" s="210" t="s">
        <v>1940</v>
      </c>
      <c r="C73" s="276" t="s">
        <v>1787</v>
      </c>
      <c r="D73" s="276"/>
      <c r="E73" s="278"/>
      <c r="F73" s="278"/>
      <c r="G73" s="278"/>
      <c r="H73" s="278"/>
      <c r="I73" s="278"/>
      <c r="J73" s="278"/>
      <c r="K73" s="278"/>
      <c r="L73" s="278"/>
      <c r="M73" s="278"/>
      <c r="N73" s="1025" t="s">
        <v>2160</v>
      </c>
      <c r="O73" s="1025" t="s">
        <v>2160</v>
      </c>
      <c r="P73" s="279">
        <v>130000</v>
      </c>
      <c r="Q73" s="279">
        <v>130000</v>
      </c>
      <c r="R73" s="1307"/>
      <c r="S73" s="34">
        <v>140000</v>
      </c>
      <c r="T73" s="34">
        <v>120000</v>
      </c>
      <c r="U73" s="34">
        <f t="shared" si="24"/>
        <v>130000</v>
      </c>
    </row>
    <row r="74" spans="1:23" s="242" customFormat="1" ht="19.5">
      <c r="A74" s="381">
        <v>14</v>
      </c>
      <c r="B74" s="454" t="s">
        <v>1941</v>
      </c>
      <c r="C74" s="381"/>
      <c r="D74" s="381"/>
      <c r="E74" s="455"/>
      <c r="F74" s="455"/>
      <c r="G74" s="455"/>
      <c r="H74" s="455"/>
      <c r="I74" s="455"/>
      <c r="J74" s="455"/>
      <c r="K74" s="455"/>
      <c r="L74" s="455"/>
      <c r="M74" s="455"/>
      <c r="N74" s="455"/>
      <c r="O74" s="455"/>
      <c r="P74" s="456"/>
      <c r="Q74" s="456"/>
      <c r="R74" s="329"/>
      <c r="S74" s="1507"/>
      <c r="T74" s="1507"/>
      <c r="U74" s="34"/>
      <c r="W74" s="13"/>
    </row>
    <row r="75" spans="1:23" ht="30">
      <c r="A75" s="276">
        <v>14.1</v>
      </c>
      <c r="B75" s="210" t="s">
        <v>2248</v>
      </c>
      <c r="C75" s="236" t="s">
        <v>1771</v>
      </c>
      <c r="D75" s="276"/>
      <c r="E75" s="278"/>
      <c r="F75" s="278"/>
      <c r="G75" s="278"/>
      <c r="H75" s="278"/>
      <c r="I75" s="278"/>
      <c r="J75" s="278"/>
      <c r="K75" s="278"/>
      <c r="L75" s="278"/>
      <c r="M75" s="278"/>
      <c r="N75" s="1025" t="s">
        <v>2160</v>
      </c>
      <c r="O75" s="1025" t="s">
        <v>2160</v>
      </c>
      <c r="P75" s="279">
        <v>15500</v>
      </c>
      <c r="Q75" s="279">
        <v>16000</v>
      </c>
      <c r="R75" s="1307"/>
      <c r="S75" s="34">
        <v>17500</v>
      </c>
      <c r="T75" s="34">
        <v>16000</v>
      </c>
      <c r="U75" s="34">
        <f t="shared" si="24"/>
        <v>16750</v>
      </c>
    </row>
    <row r="76" spans="1:23" ht="30">
      <c r="A76" s="276">
        <v>14.2</v>
      </c>
      <c r="B76" s="210" t="s">
        <v>2249</v>
      </c>
      <c r="C76" s="236" t="s">
        <v>1771</v>
      </c>
      <c r="D76" s="276"/>
      <c r="E76" s="278"/>
      <c r="F76" s="278"/>
      <c r="G76" s="278"/>
      <c r="H76" s="278"/>
      <c r="I76" s="278"/>
      <c r="J76" s="278"/>
      <c r="K76" s="278"/>
      <c r="L76" s="278"/>
      <c r="M76" s="278"/>
      <c r="N76" s="1025" t="s">
        <v>2160</v>
      </c>
      <c r="O76" s="1025" t="s">
        <v>2160</v>
      </c>
      <c r="P76" s="279">
        <v>22500</v>
      </c>
      <c r="Q76" s="279">
        <v>22750</v>
      </c>
      <c r="R76" s="1307"/>
      <c r="S76" s="34">
        <v>22000</v>
      </c>
      <c r="T76" s="34">
        <v>25000</v>
      </c>
      <c r="U76" s="34">
        <f t="shared" si="24"/>
        <v>23500</v>
      </c>
    </row>
    <row r="77" spans="1:23" ht="19.5">
      <c r="A77" s="1309">
        <v>15</v>
      </c>
      <c r="B77" s="210" t="s">
        <v>1942</v>
      </c>
      <c r="C77" s="236" t="s">
        <v>1770</v>
      </c>
      <c r="D77" s="276"/>
      <c r="E77" s="278"/>
      <c r="F77" s="278"/>
      <c r="G77" s="278"/>
      <c r="H77" s="278"/>
      <c r="I77" s="278"/>
      <c r="J77" s="278"/>
      <c r="K77" s="278"/>
      <c r="L77" s="278"/>
      <c r="M77" s="278"/>
      <c r="N77" s="1025" t="s">
        <v>2160</v>
      </c>
      <c r="O77" s="1025" t="s">
        <v>2160</v>
      </c>
      <c r="P77" s="279">
        <v>160</v>
      </c>
      <c r="Q77" s="279">
        <v>160</v>
      </c>
      <c r="R77" s="1307"/>
      <c r="S77" s="34">
        <v>160</v>
      </c>
      <c r="T77" s="34">
        <v>165</v>
      </c>
      <c r="U77" s="34">
        <f t="shared" si="24"/>
        <v>162.5</v>
      </c>
    </row>
    <row r="78" spans="1:23" ht="19.5">
      <c r="A78" s="1309">
        <v>16</v>
      </c>
      <c r="B78" s="210" t="s">
        <v>1943</v>
      </c>
      <c r="C78" s="236" t="s">
        <v>1771</v>
      </c>
      <c r="D78" s="276"/>
      <c r="E78" s="278"/>
      <c r="F78" s="278"/>
      <c r="G78" s="278"/>
      <c r="H78" s="278"/>
      <c r="I78" s="278"/>
      <c r="J78" s="278"/>
      <c r="K78" s="278"/>
      <c r="L78" s="278"/>
      <c r="M78" s="278"/>
      <c r="N78" s="1025" t="s">
        <v>2160</v>
      </c>
      <c r="O78" s="1025" t="s">
        <v>2160</v>
      </c>
      <c r="P78" s="279">
        <v>260</v>
      </c>
      <c r="Q78" s="279">
        <v>300</v>
      </c>
      <c r="R78" s="1307"/>
      <c r="S78" s="34">
        <v>320</v>
      </c>
      <c r="T78" s="34">
        <v>300</v>
      </c>
      <c r="U78" s="34">
        <f t="shared" si="24"/>
        <v>310</v>
      </c>
    </row>
    <row r="79" spans="1:23" ht="30">
      <c r="A79" s="1309">
        <v>17</v>
      </c>
      <c r="B79" s="210" t="s">
        <v>1944</v>
      </c>
      <c r="C79" s="276" t="s">
        <v>2166</v>
      </c>
      <c r="D79" s="276"/>
      <c r="E79" s="278"/>
      <c r="F79" s="278"/>
      <c r="G79" s="278"/>
      <c r="H79" s="278"/>
      <c r="I79" s="278"/>
      <c r="J79" s="278"/>
      <c r="K79" s="278"/>
      <c r="L79" s="278"/>
      <c r="M79" s="278"/>
      <c r="N79" s="1025" t="s">
        <v>2160</v>
      </c>
      <c r="O79" s="1025" t="s">
        <v>2160</v>
      </c>
      <c r="P79" s="279">
        <v>350000</v>
      </c>
      <c r="Q79" s="279">
        <v>350000</v>
      </c>
      <c r="R79" s="1307"/>
      <c r="S79" s="34">
        <v>350000</v>
      </c>
      <c r="T79" s="34">
        <v>350000</v>
      </c>
      <c r="U79" s="34">
        <f t="shared" si="24"/>
        <v>350000</v>
      </c>
    </row>
    <row r="80" spans="1:23" ht="19.5">
      <c r="A80" s="1309">
        <v>18</v>
      </c>
      <c r="B80" s="210" t="s">
        <v>2176</v>
      </c>
      <c r="C80" s="276" t="s">
        <v>2136</v>
      </c>
      <c r="D80" s="276"/>
      <c r="E80" s="278"/>
      <c r="F80" s="278"/>
      <c r="G80" s="278"/>
      <c r="H80" s="278"/>
      <c r="I80" s="278"/>
      <c r="J80" s="278"/>
      <c r="K80" s="278"/>
      <c r="L80" s="278"/>
      <c r="M80" s="278"/>
      <c r="N80" s="1025" t="s">
        <v>2160</v>
      </c>
      <c r="O80" s="1025" t="s">
        <v>2160</v>
      </c>
      <c r="P80" s="279">
        <f>102%*2940</f>
        <v>2998.8</v>
      </c>
      <c r="Q80" s="279">
        <f>P80</f>
        <v>2998.8</v>
      </c>
      <c r="R80" s="1307"/>
      <c r="S80" s="300">
        <v>2940</v>
      </c>
      <c r="T80" s="300" t="s">
        <v>2177</v>
      </c>
    </row>
    <row r="81" spans="1:19" ht="30">
      <c r="A81" s="1310">
        <v>19</v>
      </c>
      <c r="B81" s="210" t="s">
        <v>2246</v>
      </c>
      <c r="C81" s="276" t="s">
        <v>2136</v>
      </c>
      <c r="D81" s="276"/>
      <c r="E81" s="278"/>
      <c r="F81" s="278"/>
      <c r="G81" s="278"/>
      <c r="H81" s="278"/>
      <c r="I81" s="278"/>
      <c r="J81" s="278"/>
      <c r="K81" s="278"/>
      <c r="L81" s="278"/>
      <c r="M81" s="278"/>
      <c r="N81" s="1025" t="s">
        <v>2160</v>
      </c>
      <c r="O81" s="1025" t="s">
        <v>2160</v>
      </c>
      <c r="P81" s="279">
        <v>7500</v>
      </c>
      <c r="Q81" s="279">
        <v>7500</v>
      </c>
      <c r="R81" s="1307"/>
      <c r="S81" s="13" t="s">
        <v>2247</v>
      </c>
    </row>
    <row r="82" spans="1:19" ht="19.899999999999999" customHeight="1">
      <c r="A82" s="1607" t="s">
        <v>2917</v>
      </c>
      <c r="B82" s="1607"/>
      <c r="C82" s="1607"/>
      <c r="D82" s="1607"/>
      <c r="E82" s="1607"/>
      <c r="F82" s="1607"/>
      <c r="G82" s="1607"/>
      <c r="H82" s="1607"/>
      <c r="I82" s="1607"/>
      <c r="J82" s="1607"/>
      <c r="K82" s="1607"/>
      <c r="L82" s="1607"/>
      <c r="M82" s="1607"/>
      <c r="N82" s="1607"/>
      <c r="O82" s="1607"/>
      <c r="P82" s="1607"/>
      <c r="Q82" s="1607"/>
      <c r="R82" s="1607"/>
    </row>
    <row r="83" spans="1:19" ht="19.899999999999999" customHeight="1">
      <c r="A83" s="1608"/>
      <c r="B83" s="1608"/>
      <c r="C83" s="1608"/>
      <c r="D83" s="1608"/>
      <c r="E83" s="1608"/>
      <c r="F83" s="1608"/>
      <c r="G83" s="1608"/>
      <c r="H83" s="1608"/>
      <c r="I83" s="1608"/>
      <c r="J83" s="1608"/>
      <c r="K83" s="1608"/>
      <c r="L83" s="1608"/>
      <c r="M83" s="1608"/>
      <c r="N83" s="1608"/>
      <c r="O83" s="1608"/>
      <c r="P83" s="1608"/>
      <c r="Q83" s="1608"/>
      <c r="R83" s="1608"/>
    </row>
    <row r="84" spans="1:19" ht="19.899999999999999" customHeight="1">
      <c r="A84" s="1608"/>
      <c r="B84" s="1608"/>
      <c r="C84" s="1608"/>
      <c r="D84" s="1608"/>
      <c r="E84" s="1608"/>
      <c r="F84" s="1608"/>
      <c r="G84" s="1608"/>
      <c r="H84" s="1608"/>
      <c r="I84" s="1608"/>
      <c r="J84" s="1608"/>
      <c r="K84" s="1608"/>
      <c r="L84" s="1608"/>
      <c r="M84" s="1608"/>
      <c r="N84" s="1608"/>
      <c r="O84" s="1608"/>
      <c r="P84" s="1608"/>
      <c r="Q84" s="1608"/>
      <c r="R84" s="1608"/>
    </row>
    <row r="85" spans="1:19" ht="19.5">
      <c r="A85" s="258"/>
      <c r="B85" s="274"/>
      <c r="C85" s="258"/>
      <c r="D85" s="258"/>
      <c r="E85" s="275"/>
      <c r="F85" s="275"/>
      <c r="G85" s="275"/>
      <c r="H85" s="275"/>
      <c r="I85" s="275"/>
      <c r="J85" s="275"/>
      <c r="K85" s="275"/>
      <c r="L85" s="275"/>
      <c r="M85" s="275"/>
      <c r="N85" s="275"/>
      <c r="O85" s="275"/>
      <c r="P85" s="275"/>
      <c r="Q85" s="275"/>
    </row>
    <row r="86" spans="1:19" ht="19.5">
      <c r="A86" s="258"/>
      <c r="B86" s="274"/>
      <c r="C86" s="258"/>
      <c r="D86" s="258"/>
      <c r="E86" s="275"/>
      <c r="F86" s="275"/>
      <c r="G86" s="275"/>
      <c r="H86" s="275"/>
      <c r="I86" s="275"/>
      <c r="J86" s="275"/>
      <c r="K86" s="275"/>
      <c r="L86" s="275"/>
      <c r="M86" s="275"/>
      <c r="N86" s="275"/>
      <c r="O86" s="275"/>
      <c r="P86" s="275"/>
      <c r="Q86" s="275"/>
    </row>
    <row r="87" spans="1:19" ht="19.5">
      <c r="A87" s="258"/>
      <c r="B87" s="274"/>
      <c r="C87" s="258"/>
      <c r="D87" s="258"/>
      <c r="E87" s="275"/>
      <c r="F87" s="275"/>
      <c r="G87" s="275"/>
      <c r="H87" s="275"/>
      <c r="I87" s="275"/>
      <c r="J87" s="275"/>
      <c r="K87" s="275"/>
      <c r="L87" s="275"/>
      <c r="M87" s="275"/>
      <c r="N87" s="275"/>
      <c r="O87" s="275"/>
      <c r="P87" s="275"/>
      <c r="Q87" s="275"/>
    </row>
    <row r="88" spans="1:19" ht="19.5">
      <c r="A88" s="258"/>
      <c r="B88" s="274"/>
      <c r="C88" s="258"/>
      <c r="D88" s="258"/>
      <c r="E88" s="275"/>
      <c r="F88" s="275"/>
      <c r="G88" s="275"/>
      <c r="H88" s="275"/>
      <c r="I88" s="275"/>
      <c r="J88" s="275"/>
      <c r="K88" s="275"/>
      <c r="L88" s="275"/>
      <c r="M88" s="275"/>
      <c r="N88" s="275"/>
      <c r="O88" s="275"/>
      <c r="P88" s="275"/>
      <c r="Q88" s="275"/>
    </row>
    <row r="89" spans="1:19" ht="19.5">
      <c r="A89" s="258"/>
      <c r="B89" s="274"/>
      <c r="C89" s="258"/>
      <c r="D89" s="258"/>
      <c r="E89" s="275"/>
      <c r="F89" s="275"/>
      <c r="G89" s="275"/>
      <c r="H89" s="275"/>
      <c r="I89" s="275"/>
      <c r="J89" s="275"/>
      <c r="K89" s="275"/>
      <c r="L89" s="275"/>
      <c r="M89" s="275"/>
      <c r="N89" s="275"/>
      <c r="O89" s="275"/>
      <c r="P89" s="275"/>
      <c r="Q89" s="275"/>
    </row>
    <row r="90" spans="1:19" ht="19.5">
      <c r="A90" s="258"/>
      <c r="B90" s="274"/>
      <c r="C90" s="258"/>
      <c r="D90" s="258"/>
      <c r="E90" s="275"/>
      <c r="F90" s="275"/>
      <c r="G90" s="275"/>
      <c r="H90" s="275"/>
      <c r="I90" s="275"/>
      <c r="J90" s="275"/>
      <c r="K90" s="275"/>
      <c r="L90" s="275"/>
      <c r="M90" s="275"/>
      <c r="N90" s="275"/>
      <c r="O90" s="275"/>
      <c r="P90" s="275"/>
      <c r="Q90" s="275"/>
    </row>
    <row r="91" spans="1:19" ht="19.5">
      <c r="A91" s="258"/>
      <c r="B91" s="274"/>
      <c r="C91" s="258"/>
      <c r="D91" s="258"/>
      <c r="E91" s="275"/>
      <c r="F91" s="275"/>
      <c r="G91" s="275"/>
      <c r="H91" s="275"/>
      <c r="I91" s="275"/>
      <c r="J91" s="275"/>
      <c r="K91" s="275"/>
      <c r="L91" s="275"/>
      <c r="M91" s="275"/>
      <c r="N91" s="275"/>
      <c r="O91" s="275"/>
      <c r="P91" s="275"/>
      <c r="Q91" s="275"/>
    </row>
    <row r="92" spans="1:19" ht="19.5">
      <c r="A92" s="258"/>
      <c r="B92" s="274"/>
      <c r="C92" s="258"/>
      <c r="D92" s="258"/>
      <c r="E92" s="275"/>
      <c r="F92" s="275"/>
      <c r="G92" s="275"/>
      <c r="H92" s="275"/>
      <c r="I92" s="275"/>
      <c r="J92" s="275"/>
      <c r="K92" s="275"/>
      <c r="L92" s="275"/>
      <c r="M92" s="275"/>
      <c r="N92" s="275"/>
      <c r="O92" s="275"/>
      <c r="P92" s="275"/>
      <c r="Q92" s="275"/>
    </row>
    <row r="93" spans="1:19" ht="19.5">
      <c r="A93" s="258"/>
      <c r="B93" s="274"/>
      <c r="C93" s="258"/>
      <c r="D93" s="258"/>
      <c r="E93" s="275"/>
      <c r="F93" s="275"/>
      <c r="G93" s="275"/>
      <c r="H93" s="275"/>
      <c r="I93" s="275"/>
      <c r="J93" s="275"/>
      <c r="K93" s="275"/>
      <c r="L93" s="275"/>
      <c r="M93" s="275"/>
      <c r="N93" s="275"/>
      <c r="O93" s="275"/>
      <c r="P93" s="275"/>
      <c r="Q93" s="275"/>
    </row>
    <row r="94" spans="1:19" ht="19.5">
      <c r="A94" s="258"/>
      <c r="B94" s="274"/>
      <c r="C94" s="258"/>
      <c r="D94" s="258"/>
      <c r="E94" s="275"/>
      <c r="F94" s="275"/>
      <c r="G94" s="275"/>
      <c r="H94" s="275"/>
      <c r="I94" s="275"/>
      <c r="J94" s="275"/>
      <c r="K94" s="275"/>
      <c r="L94" s="275"/>
      <c r="M94" s="275"/>
      <c r="N94" s="275"/>
      <c r="O94" s="275"/>
      <c r="P94" s="275"/>
      <c r="Q94" s="275"/>
    </row>
    <row r="95" spans="1:19" ht="19.5">
      <c r="A95" s="258"/>
      <c r="B95" s="274"/>
      <c r="C95" s="258"/>
      <c r="D95" s="258"/>
      <c r="E95" s="275"/>
      <c r="F95" s="275"/>
      <c r="G95" s="275"/>
      <c r="H95" s="275"/>
      <c r="I95" s="275"/>
      <c r="J95" s="275"/>
      <c r="K95" s="275"/>
      <c r="L95" s="275"/>
      <c r="M95" s="275"/>
      <c r="N95" s="275"/>
      <c r="O95" s="275"/>
      <c r="P95" s="275"/>
      <c r="Q95" s="275"/>
    </row>
    <row r="96" spans="1:19" ht="19.5">
      <c r="A96" s="258"/>
      <c r="B96" s="274"/>
      <c r="C96" s="258"/>
      <c r="D96" s="258"/>
      <c r="E96" s="275"/>
      <c r="F96" s="275"/>
      <c r="G96" s="275"/>
      <c r="H96" s="275"/>
      <c r="I96" s="275"/>
      <c r="J96" s="275"/>
      <c r="K96" s="275"/>
      <c r="L96" s="275"/>
      <c r="M96" s="275"/>
      <c r="N96" s="275"/>
      <c r="O96" s="275"/>
      <c r="P96" s="275"/>
      <c r="Q96" s="275"/>
    </row>
    <row r="97" spans="1:17" ht="19.5">
      <c r="A97" s="258"/>
      <c r="B97" s="274"/>
      <c r="C97" s="258"/>
      <c r="D97" s="258"/>
      <c r="E97" s="275"/>
      <c r="F97" s="275"/>
      <c r="G97" s="275"/>
      <c r="H97" s="275"/>
      <c r="I97" s="275"/>
      <c r="J97" s="275"/>
      <c r="K97" s="275"/>
      <c r="L97" s="275"/>
      <c r="M97" s="275"/>
      <c r="N97" s="275"/>
      <c r="O97" s="275"/>
      <c r="P97" s="275"/>
      <c r="Q97" s="275"/>
    </row>
    <row r="98" spans="1:17" ht="19.5">
      <c r="A98" s="258"/>
      <c r="B98" s="274"/>
      <c r="C98" s="258"/>
      <c r="D98" s="258"/>
      <c r="E98" s="275"/>
      <c r="F98" s="275"/>
      <c r="G98" s="275"/>
      <c r="H98" s="275"/>
      <c r="I98" s="275"/>
      <c r="J98" s="275"/>
      <c r="K98" s="275"/>
      <c r="L98" s="275"/>
      <c r="M98" s="275"/>
      <c r="N98" s="275"/>
      <c r="O98" s="275"/>
      <c r="P98" s="275"/>
      <c r="Q98" s="275"/>
    </row>
    <row r="99" spans="1:17" ht="19.5">
      <c r="A99" s="258"/>
      <c r="B99" s="274"/>
      <c r="C99" s="258"/>
      <c r="D99" s="258"/>
      <c r="E99" s="275"/>
      <c r="F99" s="275"/>
      <c r="G99" s="275"/>
      <c r="H99" s="275"/>
      <c r="I99" s="275"/>
      <c r="J99" s="275"/>
      <c r="K99" s="275"/>
      <c r="L99" s="275"/>
      <c r="M99" s="275"/>
      <c r="N99" s="275"/>
      <c r="O99" s="275"/>
      <c r="P99" s="275"/>
      <c r="Q99" s="275"/>
    </row>
    <row r="100" spans="1:17" ht="19.5">
      <c r="A100" s="258"/>
      <c r="B100" s="274"/>
      <c r="C100" s="258"/>
      <c r="D100" s="258"/>
      <c r="E100" s="275"/>
      <c r="F100" s="275"/>
      <c r="G100" s="275"/>
      <c r="H100" s="275"/>
      <c r="I100" s="275"/>
      <c r="J100" s="275"/>
      <c r="K100" s="275"/>
      <c r="L100" s="275"/>
      <c r="M100" s="275"/>
      <c r="N100" s="275"/>
      <c r="O100" s="275"/>
      <c r="P100" s="275"/>
      <c r="Q100" s="275"/>
    </row>
    <row r="101" spans="1:17" ht="19.5">
      <c r="A101" s="258"/>
      <c r="B101" s="274"/>
      <c r="C101" s="258"/>
      <c r="D101" s="258"/>
      <c r="E101" s="275"/>
      <c r="F101" s="275"/>
      <c r="G101" s="275"/>
      <c r="H101" s="275"/>
      <c r="I101" s="275"/>
      <c r="J101" s="275"/>
      <c r="K101" s="275"/>
      <c r="L101" s="275"/>
      <c r="M101" s="275"/>
      <c r="N101" s="275"/>
      <c r="O101" s="275"/>
      <c r="P101" s="275"/>
      <c r="Q101" s="275"/>
    </row>
    <row r="102" spans="1:17" ht="19.5">
      <c r="A102" s="258"/>
      <c r="B102" s="274"/>
      <c r="C102" s="258"/>
      <c r="D102" s="258"/>
      <c r="E102" s="275"/>
      <c r="F102" s="275"/>
      <c r="G102" s="275"/>
      <c r="H102" s="275"/>
      <c r="I102" s="275"/>
      <c r="J102" s="275"/>
      <c r="K102" s="275"/>
      <c r="L102" s="275"/>
      <c r="M102" s="275"/>
      <c r="N102" s="275"/>
      <c r="O102" s="275"/>
      <c r="P102" s="275"/>
      <c r="Q102" s="275"/>
    </row>
    <row r="103" spans="1:17" ht="19.5">
      <c r="A103" s="258"/>
      <c r="B103" s="274"/>
      <c r="C103" s="258"/>
      <c r="D103" s="258"/>
      <c r="E103" s="275"/>
      <c r="F103" s="275"/>
      <c r="G103" s="275"/>
      <c r="H103" s="275"/>
      <c r="I103" s="275"/>
      <c r="J103" s="275"/>
      <c r="K103" s="275"/>
      <c r="L103" s="275"/>
      <c r="M103" s="275"/>
      <c r="N103" s="275"/>
      <c r="O103" s="275"/>
      <c r="P103" s="275"/>
      <c r="Q103" s="275"/>
    </row>
    <row r="104" spans="1:17" ht="19.5">
      <c r="A104" s="258"/>
      <c r="B104" s="274"/>
      <c r="C104" s="258"/>
      <c r="D104" s="258"/>
      <c r="E104" s="275"/>
      <c r="F104" s="275"/>
      <c r="G104" s="275"/>
      <c r="H104" s="275"/>
      <c r="I104" s="275"/>
      <c r="J104" s="275"/>
      <c r="K104" s="275"/>
      <c r="L104" s="275"/>
      <c r="M104" s="275"/>
      <c r="N104" s="275"/>
      <c r="O104" s="275"/>
      <c r="P104" s="275"/>
      <c r="Q104" s="275"/>
    </row>
    <row r="105" spans="1:17" ht="19.5">
      <c r="A105" s="258"/>
      <c r="B105" s="274"/>
      <c r="C105" s="258"/>
      <c r="D105" s="258"/>
      <c r="E105" s="275"/>
      <c r="F105" s="275"/>
      <c r="G105" s="275"/>
      <c r="H105" s="275"/>
      <c r="I105" s="275"/>
      <c r="J105" s="275"/>
      <c r="K105" s="275"/>
      <c r="L105" s="275"/>
      <c r="M105" s="275"/>
      <c r="N105" s="275"/>
      <c r="O105" s="275"/>
      <c r="P105" s="275"/>
      <c r="Q105" s="275"/>
    </row>
    <row r="106" spans="1:17" ht="19.5">
      <c r="A106" s="258"/>
      <c r="B106" s="274"/>
      <c r="C106" s="258"/>
      <c r="D106" s="258"/>
      <c r="E106" s="275"/>
      <c r="F106" s="275"/>
      <c r="G106" s="275"/>
      <c r="H106" s="275"/>
      <c r="I106" s="275"/>
      <c r="J106" s="275"/>
      <c r="K106" s="275"/>
      <c r="L106" s="275"/>
      <c r="M106" s="275"/>
      <c r="N106" s="275"/>
      <c r="O106" s="275"/>
      <c r="P106" s="275"/>
      <c r="Q106" s="275"/>
    </row>
    <row r="107" spans="1:17" ht="19.5">
      <c r="A107" s="258"/>
      <c r="B107" s="274"/>
      <c r="C107" s="258"/>
      <c r="D107" s="258"/>
      <c r="E107" s="275"/>
      <c r="F107" s="275"/>
      <c r="G107" s="275"/>
      <c r="H107" s="275"/>
      <c r="I107" s="275"/>
      <c r="J107" s="275"/>
      <c r="K107" s="275"/>
      <c r="L107" s="275"/>
      <c r="M107" s="275"/>
      <c r="N107" s="275"/>
      <c r="O107" s="275"/>
      <c r="P107" s="275"/>
      <c r="Q107" s="275"/>
    </row>
    <row r="108" spans="1:17" ht="19.5">
      <c r="A108" s="258"/>
      <c r="B108" s="274"/>
      <c r="C108" s="258"/>
      <c r="D108" s="258"/>
      <c r="E108" s="275"/>
      <c r="F108" s="275"/>
      <c r="G108" s="275"/>
      <c r="H108" s="275"/>
      <c r="I108" s="275"/>
      <c r="J108" s="275"/>
      <c r="K108" s="275"/>
      <c r="L108" s="275"/>
      <c r="M108" s="275"/>
      <c r="N108" s="275"/>
      <c r="O108" s="275"/>
      <c r="P108" s="275"/>
      <c r="Q108" s="275"/>
    </row>
    <row r="109" spans="1:17" ht="19.5">
      <c r="A109" s="258"/>
      <c r="B109" s="274"/>
      <c r="C109" s="258"/>
      <c r="D109" s="258"/>
      <c r="E109" s="275"/>
      <c r="F109" s="275"/>
      <c r="G109" s="275"/>
      <c r="H109" s="275"/>
      <c r="I109" s="275"/>
      <c r="J109" s="275"/>
      <c r="K109" s="275"/>
      <c r="L109" s="275"/>
      <c r="M109" s="275"/>
      <c r="N109" s="275"/>
      <c r="O109" s="275"/>
      <c r="P109" s="275"/>
      <c r="Q109" s="275"/>
    </row>
    <row r="110" spans="1:17" ht="19.5">
      <c r="A110" s="258"/>
      <c r="B110" s="274"/>
      <c r="C110" s="258"/>
      <c r="D110" s="258"/>
      <c r="E110" s="275"/>
      <c r="F110" s="275"/>
      <c r="G110" s="275"/>
      <c r="H110" s="275"/>
      <c r="I110" s="275"/>
      <c r="J110" s="275"/>
      <c r="K110" s="275"/>
      <c r="L110" s="275"/>
      <c r="M110" s="275"/>
      <c r="N110" s="275"/>
      <c r="O110" s="275"/>
      <c r="P110" s="275"/>
      <c r="Q110" s="275"/>
    </row>
    <row r="111" spans="1:17" ht="19.5">
      <c r="A111" s="258"/>
      <c r="B111" s="274"/>
      <c r="C111" s="258"/>
      <c r="D111" s="258"/>
      <c r="E111" s="275"/>
      <c r="F111" s="275"/>
      <c r="G111" s="275"/>
      <c r="H111" s="275"/>
      <c r="I111" s="275"/>
      <c r="J111" s="275"/>
      <c r="K111" s="275"/>
      <c r="L111" s="275"/>
      <c r="M111" s="275"/>
      <c r="N111" s="275"/>
      <c r="O111" s="275"/>
      <c r="P111" s="275"/>
      <c r="Q111" s="275"/>
    </row>
    <row r="112" spans="1:17" ht="19.5">
      <c r="A112" s="258"/>
      <c r="B112" s="274"/>
      <c r="C112" s="258"/>
      <c r="D112" s="258"/>
      <c r="E112" s="275"/>
      <c r="F112" s="275"/>
      <c r="G112" s="275"/>
      <c r="H112" s="275"/>
      <c r="I112" s="275"/>
      <c r="J112" s="275"/>
      <c r="K112" s="275"/>
      <c r="L112" s="275"/>
      <c r="M112" s="275"/>
      <c r="N112" s="275"/>
      <c r="O112" s="275"/>
      <c r="P112" s="275"/>
      <c r="Q112" s="275"/>
    </row>
    <row r="113" spans="1:17" ht="19.5">
      <c r="A113" s="258"/>
      <c r="B113" s="274"/>
      <c r="C113" s="258"/>
      <c r="D113" s="258"/>
      <c r="E113" s="275"/>
      <c r="F113" s="275"/>
      <c r="G113" s="275"/>
      <c r="H113" s="275"/>
      <c r="I113" s="275"/>
      <c r="J113" s="275"/>
      <c r="K113" s="275"/>
      <c r="L113" s="275"/>
      <c r="M113" s="275"/>
      <c r="N113" s="275"/>
      <c r="O113" s="275"/>
      <c r="P113" s="275"/>
      <c r="Q113" s="275"/>
    </row>
    <row r="114" spans="1:17" ht="19.5">
      <c r="A114" s="258"/>
      <c r="B114" s="274"/>
      <c r="C114" s="258"/>
      <c r="D114" s="258"/>
      <c r="E114" s="275"/>
      <c r="F114" s="275"/>
      <c r="G114" s="275"/>
      <c r="H114" s="275"/>
      <c r="I114" s="275"/>
      <c r="J114" s="275"/>
      <c r="K114" s="275"/>
      <c r="L114" s="275"/>
      <c r="M114" s="275"/>
      <c r="N114" s="275"/>
      <c r="O114" s="275"/>
      <c r="P114" s="275"/>
      <c r="Q114" s="275"/>
    </row>
    <row r="115" spans="1:17" ht="19.5">
      <c r="A115" s="258"/>
      <c r="B115" s="274"/>
      <c r="C115" s="258"/>
      <c r="D115" s="258"/>
      <c r="E115" s="275"/>
      <c r="F115" s="275"/>
      <c r="G115" s="275"/>
      <c r="H115" s="275"/>
      <c r="I115" s="275"/>
      <c r="J115" s="275"/>
      <c r="K115" s="275"/>
      <c r="L115" s="275"/>
      <c r="M115" s="275"/>
      <c r="N115" s="275"/>
      <c r="O115" s="275"/>
      <c r="P115" s="275"/>
      <c r="Q115" s="275"/>
    </row>
    <row r="116" spans="1:17" ht="19.5">
      <c r="A116" s="258"/>
      <c r="B116" s="274"/>
      <c r="C116" s="258"/>
      <c r="D116" s="258"/>
      <c r="E116" s="275"/>
      <c r="F116" s="275"/>
      <c r="G116" s="275"/>
      <c r="H116" s="275"/>
      <c r="I116" s="275"/>
      <c r="J116" s="275"/>
      <c r="K116" s="275"/>
      <c r="L116" s="275"/>
      <c r="M116" s="275"/>
      <c r="N116" s="275"/>
      <c r="O116" s="275"/>
      <c r="P116" s="275"/>
      <c r="Q116" s="275"/>
    </row>
    <row r="117" spans="1:17" ht="19.5">
      <c r="A117" s="258"/>
      <c r="B117" s="274"/>
      <c r="C117" s="258"/>
      <c r="D117" s="258"/>
      <c r="E117" s="275"/>
      <c r="F117" s="275"/>
      <c r="G117" s="275"/>
      <c r="H117" s="275"/>
      <c r="I117" s="275"/>
      <c r="J117" s="275"/>
      <c r="K117" s="275"/>
      <c r="L117" s="275"/>
      <c r="M117" s="275"/>
      <c r="N117" s="275"/>
      <c r="O117" s="275"/>
      <c r="P117" s="275"/>
      <c r="Q117" s="275"/>
    </row>
    <row r="118" spans="1:17" ht="19.5">
      <c r="A118" s="258"/>
      <c r="B118" s="274"/>
      <c r="C118" s="258"/>
      <c r="D118" s="258"/>
      <c r="E118" s="275"/>
      <c r="F118" s="275"/>
      <c r="G118" s="275"/>
      <c r="H118" s="275"/>
      <c r="I118" s="275"/>
      <c r="J118" s="275"/>
      <c r="K118" s="275"/>
      <c r="L118" s="275"/>
      <c r="M118" s="275"/>
      <c r="N118" s="275"/>
      <c r="O118" s="275"/>
      <c r="P118" s="275"/>
      <c r="Q118" s="275"/>
    </row>
    <row r="119" spans="1:17" ht="19.5">
      <c r="A119" s="258"/>
      <c r="B119" s="274"/>
      <c r="C119" s="258"/>
      <c r="D119" s="258"/>
      <c r="E119" s="275"/>
      <c r="F119" s="275"/>
      <c r="G119" s="275"/>
      <c r="H119" s="275"/>
      <c r="I119" s="275"/>
      <c r="J119" s="275"/>
      <c r="K119" s="275"/>
      <c r="L119" s="275"/>
      <c r="M119" s="275"/>
      <c r="N119" s="275"/>
      <c r="O119" s="275"/>
      <c r="P119" s="275"/>
      <c r="Q119" s="275"/>
    </row>
    <row r="120" spans="1:17" ht="19.5">
      <c r="A120" s="258"/>
      <c r="B120" s="274"/>
      <c r="C120" s="258"/>
      <c r="D120" s="258"/>
      <c r="E120" s="275"/>
      <c r="F120" s="275"/>
      <c r="G120" s="275"/>
      <c r="H120" s="275"/>
      <c r="I120" s="275"/>
      <c r="J120" s="275"/>
      <c r="K120" s="275"/>
      <c r="L120" s="275"/>
      <c r="M120" s="275"/>
      <c r="N120" s="275"/>
      <c r="O120" s="275"/>
      <c r="P120" s="275"/>
      <c r="Q120" s="275"/>
    </row>
    <row r="121" spans="1:17" ht="19.5">
      <c r="A121" s="258"/>
      <c r="B121" s="274"/>
      <c r="C121" s="258"/>
      <c r="D121" s="258"/>
      <c r="E121" s="275"/>
      <c r="F121" s="275"/>
      <c r="G121" s="275"/>
      <c r="H121" s="275"/>
      <c r="I121" s="275"/>
      <c r="J121" s="275"/>
      <c r="K121" s="275"/>
      <c r="L121" s="275"/>
      <c r="M121" s="275"/>
      <c r="N121" s="275"/>
      <c r="O121" s="275"/>
      <c r="P121" s="275"/>
      <c r="Q121" s="275"/>
    </row>
    <row r="122" spans="1:17" ht="19.5">
      <c r="A122" s="258"/>
      <c r="B122" s="274"/>
      <c r="C122" s="258"/>
      <c r="D122" s="258"/>
      <c r="E122" s="275"/>
      <c r="F122" s="275"/>
      <c r="G122" s="275"/>
      <c r="H122" s="275"/>
      <c r="I122" s="275"/>
      <c r="J122" s="275"/>
      <c r="K122" s="275"/>
      <c r="L122" s="275"/>
      <c r="M122" s="275"/>
      <c r="N122" s="275"/>
      <c r="O122" s="275"/>
      <c r="P122" s="275"/>
      <c r="Q122" s="275"/>
    </row>
    <row r="123" spans="1:17" ht="19.5">
      <c r="A123" s="258"/>
      <c r="B123" s="274"/>
      <c r="C123" s="258"/>
      <c r="D123" s="258"/>
      <c r="E123" s="275"/>
      <c r="F123" s="275"/>
      <c r="G123" s="275"/>
      <c r="H123" s="275"/>
      <c r="I123" s="275"/>
      <c r="J123" s="275"/>
      <c r="K123" s="275"/>
      <c r="L123" s="275"/>
      <c r="M123" s="275"/>
      <c r="N123" s="275"/>
      <c r="O123" s="275"/>
      <c r="P123" s="275"/>
      <c r="Q123" s="275"/>
    </row>
    <row r="124" spans="1:17" ht="19.5">
      <c r="A124" s="258"/>
      <c r="B124" s="274"/>
      <c r="C124" s="258"/>
      <c r="D124" s="258"/>
      <c r="E124" s="275"/>
      <c r="F124" s="275"/>
      <c r="G124" s="275"/>
      <c r="H124" s="275"/>
      <c r="I124" s="275"/>
      <c r="J124" s="275"/>
      <c r="K124" s="275"/>
      <c r="L124" s="275"/>
      <c r="M124" s="275"/>
      <c r="N124" s="275"/>
      <c r="O124" s="275"/>
      <c r="P124" s="275"/>
      <c r="Q124" s="275"/>
    </row>
    <row r="125" spans="1:17" ht="19.5">
      <c r="A125" s="258"/>
      <c r="B125" s="274"/>
      <c r="C125" s="258"/>
      <c r="D125" s="258"/>
      <c r="E125" s="275"/>
      <c r="F125" s="275"/>
      <c r="G125" s="275"/>
      <c r="H125" s="275"/>
      <c r="I125" s="275"/>
      <c r="J125" s="275"/>
      <c r="K125" s="275"/>
      <c r="L125" s="275"/>
      <c r="M125" s="275"/>
      <c r="N125" s="275"/>
      <c r="O125" s="275"/>
      <c r="P125" s="275"/>
      <c r="Q125" s="275"/>
    </row>
    <row r="126" spans="1:17" ht="19.5">
      <c r="A126" s="258"/>
      <c r="B126" s="274"/>
      <c r="C126" s="258"/>
      <c r="D126" s="258"/>
      <c r="E126" s="275"/>
      <c r="F126" s="275"/>
      <c r="G126" s="275"/>
      <c r="H126" s="275"/>
      <c r="I126" s="275"/>
      <c r="J126" s="275"/>
      <c r="K126" s="275"/>
      <c r="L126" s="275"/>
      <c r="M126" s="275"/>
      <c r="N126" s="275"/>
      <c r="O126" s="275"/>
      <c r="P126" s="275"/>
      <c r="Q126" s="275"/>
    </row>
    <row r="127" spans="1:17" ht="19.5">
      <c r="A127" s="258"/>
      <c r="B127" s="274"/>
      <c r="C127" s="258"/>
      <c r="D127" s="258"/>
      <c r="E127" s="275"/>
      <c r="F127" s="275"/>
      <c r="G127" s="275"/>
      <c r="H127" s="275"/>
      <c r="I127" s="275"/>
      <c r="J127" s="275"/>
      <c r="K127" s="275"/>
      <c r="L127" s="275"/>
      <c r="M127" s="275"/>
      <c r="N127" s="275"/>
      <c r="O127" s="275"/>
      <c r="P127" s="275"/>
      <c r="Q127" s="275"/>
    </row>
    <row r="128" spans="1:17" ht="19.5">
      <c r="A128" s="258"/>
      <c r="B128" s="274"/>
      <c r="C128" s="258"/>
      <c r="D128" s="258"/>
      <c r="E128" s="275"/>
      <c r="F128" s="275"/>
      <c r="G128" s="275"/>
      <c r="H128" s="275"/>
      <c r="I128" s="275"/>
      <c r="J128" s="275"/>
      <c r="K128" s="275"/>
      <c r="L128" s="275"/>
      <c r="M128" s="275"/>
      <c r="N128" s="275"/>
      <c r="O128" s="275"/>
      <c r="P128" s="275"/>
      <c r="Q128" s="275"/>
    </row>
    <row r="129" spans="1:17" ht="19.5">
      <c r="A129" s="258"/>
      <c r="B129" s="274"/>
      <c r="C129" s="258"/>
      <c r="D129" s="258"/>
      <c r="E129" s="275"/>
      <c r="F129" s="275"/>
      <c r="G129" s="275"/>
      <c r="H129" s="275"/>
      <c r="I129" s="275"/>
      <c r="J129" s="275"/>
      <c r="K129" s="275"/>
      <c r="L129" s="275"/>
      <c r="M129" s="275"/>
      <c r="N129" s="275"/>
      <c r="O129" s="275"/>
      <c r="P129" s="275"/>
      <c r="Q129" s="275"/>
    </row>
    <row r="130" spans="1:17" ht="19.5">
      <c r="A130" s="258"/>
      <c r="B130" s="274"/>
      <c r="C130" s="258"/>
      <c r="D130" s="258"/>
      <c r="E130" s="275"/>
      <c r="F130" s="275"/>
      <c r="G130" s="275"/>
      <c r="H130" s="275"/>
      <c r="I130" s="275"/>
      <c r="J130" s="275"/>
      <c r="K130" s="275"/>
      <c r="L130" s="275"/>
      <c r="M130" s="275"/>
      <c r="N130" s="275"/>
      <c r="O130" s="275"/>
      <c r="P130" s="275"/>
      <c r="Q130" s="275"/>
    </row>
    <row r="131" spans="1:17" ht="19.5">
      <c r="A131" s="258"/>
      <c r="B131" s="274"/>
      <c r="C131" s="258"/>
      <c r="D131" s="258"/>
      <c r="E131" s="275"/>
      <c r="F131" s="275"/>
      <c r="G131" s="275"/>
      <c r="H131" s="275"/>
      <c r="I131" s="275"/>
      <c r="J131" s="275"/>
      <c r="K131" s="275"/>
      <c r="L131" s="275"/>
      <c r="M131" s="275"/>
      <c r="N131" s="275"/>
      <c r="O131" s="275"/>
      <c r="P131" s="275"/>
      <c r="Q131" s="275"/>
    </row>
    <row r="132" spans="1:17" ht="19.5">
      <c r="A132" s="258"/>
      <c r="B132" s="274"/>
      <c r="C132" s="258"/>
      <c r="D132" s="258"/>
      <c r="E132" s="275"/>
      <c r="F132" s="275"/>
      <c r="G132" s="275"/>
      <c r="H132" s="275"/>
      <c r="I132" s="275"/>
      <c r="J132" s="275"/>
      <c r="K132" s="275"/>
      <c r="L132" s="275"/>
      <c r="M132" s="275"/>
      <c r="N132" s="275"/>
      <c r="O132" s="275"/>
      <c r="P132" s="275"/>
      <c r="Q132" s="275"/>
    </row>
    <row r="133" spans="1:17" ht="19.5">
      <c r="A133" s="258"/>
      <c r="B133" s="274"/>
      <c r="C133" s="258"/>
      <c r="D133" s="258"/>
      <c r="E133" s="275"/>
      <c r="F133" s="275"/>
      <c r="G133" s="275"/>
      <c r="H133" s="275"/>
      <c r="I133" s="275"/>
      <c r="J133" s="275"/>
      <c r="K133" s="275"/>
      <c r="L133" s="275"/>
      <c r="M133" s="275"/>
      <c r="N133" s="275"/>
      <c r="O133" s="275"/>
      <c r="P133" s="275"/>
      <c r="Q133" s="275"/>
    </row>
    <row r="134" spans="1:17" ht="19.5">
      <c r="A134" s="258"/>
      <c r="B134" s="274"/>
      <c r="C134" s="258"/>
      <c r="D134" s="258"/>
      <c r="E134" s="275"/>
      <c r="F134" s="275"/>
      <c r="G134" s="275"/>
      <c r="H134" s="275"/>
      <c r="I134" s="275"/>
      <c r="J134" s="275"/>
      <c r="K134" s="275"/>
      <c r="L134" s="275"/>
      <c r="M134" s="275"/>
      <c r="N134" s="275"/>
      <c r="O134" s="275"/>
      <c r="P134" s="275"/>
      <c r="Q134" s="275"/>
    </row>
    <row r="135" spans="1:17" ht="19.5">
      <c r="A135" s="258"/>
      <c r="B135" s="274"/>
      <c r="C135" s="258"/>
      <c r="D135" s="258"/>
      <c r="E135" s="275"/>
      <c r="F135" s="275"/>
      <c r="G135" s="275"/>
      <c r="H135" s="275"/>
      <c r="I135" s="275"/>
      <c r="J135" s="275"/>
      <c r="K135" s="275"/>
      <c r="L135" s="275"/>
      <c r="M135" s="275"/>
      <c r="N135" s="275"/>
      <c r="O135" s="275"/>
      <c r="P135" s="275"/>
      <c r="Q135" s="275"/>
    </row>
    <row r="136" spans="1:17" ht="19.5">
      <c r="A136" s="258"/>
      <c r="B136" s="274"/>
      <c r="C136" s="258"/>
      <c r="D136" s="258"/>
      <c r="E136" s="275"/>
      <c r="F136" s="275"/>
      <c r="G136" s="275"/>
      <c r="H136" s="275"/>
      <c r="I136" s="275"/>
      <c r="J136" s="275"/>
      <c r="K136" s="275"/>
      <c r="L136" s="275"/>
      <c r="M136" s="275"/>
      <c r="N136" s="275"/>
      <c r="O136" s="275"/>
      <c r="P136" s="275"/>
      <c r="Q136" s="275"/>
    </row>
    <row r="137" spans="1:17" ht="19.5">
      <c r="A137" s="258"/>
      <c r="B137" s="274"/>
      <c r="C137" s="258"/>
      <c r="D137" s="258"/>
      <c r="E137" s="275"/>
      <c r="F137" s="275"/>
      <c r="G137" s="275"/>
      <c r="H137" s="275"/>
      <c r="I137" s="275"/>
      <c r="J137" s="275"/>
      <c r="K137" s="275"/>
      <c r="L137" s="275"/>
      <c r="M137" s="275"/>
      <c r="N137" s="275"/>
      <c r="O137" s="275"/>
      <c r="P137" s="275"/>
      <c r="Q137" s="275"/>
    </row>
  </sheetData>
  <mergeCells count="10">
    <mergeCell ref="A82:R84"/>
    <mergeCell ref="U2:V2"/>
    <mergeCell ref="U9:V9"/>
    <mergeCell ref="S49:S59"/>
    <mergeCell ref="A1:R1"/>
    <mergeCell ref="N20:Q20"/>
    <mergeCell ref="S2:T2"/>
    <mergeCell ref="S9:T9"/>
    <mergeCell ref="Q4:Q8"/>
    <mergeCell ref="Q10:Q16"/>
  </mergeCells>
  <printOptions horizontalCentered="1"/>
  <pageMargins left="1.24" right="0.19" top="1.03" bottom="0.73" header="0.5" footer="0.56999999999999995"/>
  <pageSetup paperSize="9" scale="84"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U49"/>
  <sheetViews>
    <sheetView tabSelected="1" view="pageLayout" zoomScale="85" zoomScaleNormal="100" zoomScaleSheetLayoutView="145" zoomScalePageLayoutView="85" workbookViewId="0">
      <selection activeCell="D24" sqref="D24"/>
    </sheetView>
  </sheetViews>
  <sheetFormatPr defaultColWidth="9.28515625" defaultRowHeight="15"/>
  <cols>
    <col min="1" max="1" width="6.5703125" style="60" customWidth="1"/>
    <col min="2" max="2" width="33.28515625" style="61" customWidth="1"/>
    <col min="3" max="3" width="10.28515625" style="60" customWidth="1"/>
    <col min="4" max="4" width="4.42578125" style="60" hidden="1" customWidth="1"/>
    <col min="5" max="5" width="9.7109375" style="62" hidden="1" customWidth="1"/>
    <col min="6" max="6" width="10.28515625" style="62" hidden="1" customWidth="1"/>
    <col min="7" max="7" width="4.42578125" style="62" hidden="1" customWidth="1"/>
    <col min="8" max="8" width="11.28515625" style="62" hidden="1" customWidth="1"/>
    <col min="9" max="13" width="12.28515625" style="62" hidden="1" customWidth="1"/>
    <col min="14" max="14" width="12.28515625" style="62" customWidth="1"/>
    <col min="15" max="16" width="11.42578125" style="62" customWidth="1"/>
    <col min="17" max="17" width="7.7109375" style="13" customWidth="1"/>
    <col min="18" max="18" width="9.28515625" style="13"/>
    <col min="19" max="19" width="9.7109375" style="13" bestFit="1" customWidth="1"/>
    <col min="20" max="16384" width="9.28515625" style="13"/>
  </cols>
  <sheetData>
    <row r="1" spans="1:21" ht="29.25" thickBot="1">
      <c r="A1" s="1606" t="s">
        <v>1788</v>
      </c>
      <c r="B1" s="1606"/>
      <c r="C1" s="1606"/>
      <c r="D1" s="1606"/>
      <c r="E1" s="1606"/>
      <c r="F1" s="1606"/>
      <c r="G1" s="1606"/>
      <c r="H1" s="1606"/>
      <c r="I1" s="1606"/>
      <c r="J1" s="1606"/>
      <c r="K1" s="1606"/>
      <c r="L1" s="1606"/>
      <c r="M1" s="1606"/>
      <c r="N1" s="1606"/>
      <c r="O1" s="1606"/>
      <c r="P1" s="1606"/>
      <c r="Q1" s="1606"/>
    </row>
    <row r="2" spans="1:21" ht="59.25" customHeight="1">
      <c r="A2" s="481" t="s">
        <v>0</v>
      </c>
      <c r="B2" s="482" t="s">
        <v>51</v>
      </c>
      <c r="C2" s="482" t="s">
        <v>8</v>
      </c>
      <c r="D2" s="484" t="s">
        <v>52</v>
      </c>
      <c r="E2" s="485" t="s">
        <v>53</v>
      </c>
      <c r="F2" s="485" t="s">
        <v>54</v>
      </c>
      <c r="G2" s="485" t="s">
        <v>55</v>
      </c>
      <c r="H2" s="486" t="s">
        <v>1416</v>
      </c>
      <c r="I2" s="486" t="s">
        <v>1417</v>
      </c>
      <c r="J2" s="486" t="s">
        <v>1428</v>
      </c>
      <c r="K2" s="486" t="s">
        <v>1432</v>
      </c>
      <c r="L2" s="486" t="s">
        <v>1463</v>
      </c>
      <c r="M2" s="666" t="str">
        <f>Falamjanya!M2</f>
        <v>आ.व. २०८०/०८१ को दररेट</v>
      </c>
      <c r="N2" s="666" t="str">
        <f>Falamjanya!N2</f>
        <v>आ.व. २०८१/०८२ को दररेट</v>
      </c>
      <c r="O2" s="666" t="str">
        <f>Falamjanya!O2</f>
        <v>आ.व. २०८२/०८३ को दररेट</v>
      </c>
      <c r="P2" s="666" t="str">
        <f>Sadak!Q2</f>
        <v>आ.व. २०८३/०८४ को दररेट</v>
      </c>
      <c r="Q2" s="953" t="s">
        <v>9</v>
      </c>
    </row>
    <row r="3" spans="1:21" ht="19.5">
      <c r="A3" s="954">
        <v>1</v>
      </c>
      <c r="B3" s="239" t="s">
        <v>1800</v>
      </c>
      <c r="C3" s="276" t="str">
        <f>C13</f>
        <v>के.जी.</v>
      </c>
      <c r="D3" s="26">
        <v>50</v>
      </c>
      <c r="E3" s="36">
        <v>48</v>
      </c>
      <c r="F3" s="36">
        <v>46</v>
      </c>
      <c r="G3" s="36">
        <v>46</v>
      </c>
      <c r="H3" s="36">
        <v>65</v>
      </c>
      <c r="I3" s="36">
        <f t="shared" ref="I3:K7" si="0">H3</f>
        <v>65</v>
      </c>
      <c r="J3" s="36">
        <f t="shared" si="0"/>
        <v>65</v>
      </c>
      <c r="K3" s="36">
        <f t="shared" si="0"/>
        <v>65</v>
      </c>
      <c r="L3" s="36">
        <f>K3*1.1</f>
        <v>71.5</v>
      </c>
      <c r="M3" s="36">
        <f t="shared" ref="M3:O7" si="1">L3</f>
        <v>71.5</v>
      </c>
      <c r="N3" s="36">
        <f t="shared" si="1"/>
        <v>71.5</v>
      </c>
      <c r="O3" s="36">
        <f t="shared" si="1"/>
        <v>71.5</v>
      </c>
      <c r="P3" s="213">
        <f>O3</f>
        <v>71.5</v>
      </c>
      <c r="Q3" s="29"/>
      <c r="S3" s="155"/>
    </row>
    <row r="4" spans="1:21" ht="19.5">
      <c r="A4" s="954">
        <f>A3+1</f>
        <v>2</v>
      </c>
      <c r="B4" s="239" t="s">
        <v>1810</v>
      </c>
      <c r="C4" s="276" t="s">
        <v>1786</v>
      </c>
      <c r="D4" s="26"/>
      <c r="E4" s="36"/>
      <c r="F4" s="36">
        <v>115</v>
      </c>
      <c r="G4" s="36">
        <v>125</v>
      </c>
      <c r="H4" s="36">
        <v>195</v>
      </c>
      <c r="I4" s="36">
        <f t="shared" si="0"/>
        <v>195</v>
      </c>
      <c r="J4" s="36">
        <f t="shared" si="0"/>
        <v>195</v>
      </c>
      <c r="K4" s="36">
        <f t="shared" si="0"/>
        <v>195</v>
      </c>
      <c r="L4" s="36">
        <f>K4*1.1</f>
        <v>214.50000000000003</v>
      </c>
      <c r="M4" s="36">
        <f t="shared" si="1"/>
        <v>214.50000000000003</v>
      </c>
      <c r="N4" s="36">
        <f t="shared" si="1"/>
        <v>214.50000000000003</v>
      </c>
      <c r="O4" s="36">
        <f t="shared" si="1"/>
        <v>214.50000000000003</v>
      </c>
      <c r="P4" s="213">
        <f t="shared" ref="P4:P39" si="2">O4</f>
        <v>214.50000000000003</v>
      </c>
      <c r="Q4" s="29"/>
      <c r="R4" s="13">
        <v>139.5</v>
      </c>
      <c r="S4" s="155"/>
    </row>
    <row r="5" spans="1:21" ht="19.5">
      <c r="A5" s="954">
        <f t="shared" ref="A5:A39" si="3">A4+1</f>
        <v>3</v>
      </c>
      <c r="B5" s="239" t="s">
        <v>1794</v>
      </c>
      <c r="C5" s="276" t="s">
        <v>1786</v>
      </c>
      <c r="D5" s="26">
        <v>170</v>
      </c>
      <c r="E5" s="36">
        <v>215</v>
      </c>
      <c r="F5" s="36">
        <v>220</v>
      </c>
      <c r="G5" s="36">
        <v>230</v>
      </c>
      <c r="H5" s="36">
        <v>349</v>
      </c>
      <c r="I5" s="36">
        <f t="shared" si="0"/>
        <v>349</v>
      </c>
      <c r="J5" s="36">
        <f t="shared" si="0"/>
        <v>349</v>
      </c>
      <c r="K5" s="36">
        <f t="shared" si="0"/>
        <v>349</v>
      </c>
      <c r="L5" s="36">
        <f>K5*1.1</f>
        <v>383.90000000000003</v>
      </c>
      <c r="M5" s="36">
        <f t="shared" si="1"/>
        <v>383.90000000000003</v>
      </c>
      <c r="N5" s="36">
        <f t="shared" si="1"/>
        <v>383.90000000000003</v>
      </c>
      <c r="O5" s="36">
        <f t="shared" si="1"/>
        <v>383.90000000000003</v>
      </c>
      <c r="P5" s="213">
        <f t="shared" si="2"/>
        <v>383.90000000000003</v>
      </c>
      <c r="Q5" s="29"/>
      <c r="S5" s="155"/>
      <c r="U5" s="60"/>
    </row>
    <row r="6" spans="1:21" ht="19.5">
      <c r="A6" s="954">
        <f t="shared" si="3"/>
        <v>4</v>
      </c>
      <c r="B6" s="239" t="s">
        <v>1789</v>
      </c>
      <c r="C6" s="276" t="s">
        <v>1786</v>
      </c>
      <c r="D6" s="26">
        <v>215</v>
      </c>
      <c r="E6" s="36">
        <v>285</v>
      </c>
      <c r="F6" s="36">
        <v>285</v>
      </c>
      <c r="G6" s="36">
        <v>298</v>
      </c>
      <c r="H6" s="36">
        <v>534</v>
      </c>
      <c r="I6" s="36">
        <f t="shared" si="0"/>
        <v>534</v>
      </c>
      <c r="J6" s="36">
        <f t="shared" si="0"/>
        <v>534</v>
      </c>
      <c r="K6" s="36">
        <f t="shared" si="0"/>
        <v>534</v>
      </c>
      <c r="L6" s="36">
        <f>K6*1.1</f>
        <v>587.40000000000009</v>
      </c>
      <c r="M6" s="36">
        <f t="shared" si="1"/>
        <v>587.40000000000009</v>
      </c>
      <c r="N6" s="36">
        <f t="shared" si="1"/>
        <v>587.40000000000009</v>
      </c>
      <c r="O6" s="36">
        <f t="shared" si="1"/>
        <v>587.40000000000009</v>
      </c>
      <c r="P6" s="213">
        <f t="shared" si="2"/>
        <v>587.40000000000009</v>
      </c>
      <c r="Q6" s="29"/>
      <c r="S6" s="155"/>
    </row>
    <row r="7" spans="1:21" ht="19.5">
      <c r="A7" s="954">
        <f t="shared" si="3"/>
        <v>5</v>
      </c>
      <c r="B7" s="239" t="s">
        <v>1791</v>
      </c>
      <c r="C7" s="276" t="s">
        <v>1786</v>
      </c>
      <c r="D7" s="26">
        <v>260</v>
      </c>
      <c r="E7" s="36">
        <v>350</v>
      </c>
      <c r="F7" s="36">
        <v>375</v>
      </c>
      <c r="G7" s="36">
        <v>391</v>
      </c>
      <c r="H7" s="36">
        <v>590</v>
      </c>
      <c r="I7" s="36">
        <f t="shared" si="0"/>
        <v>590</v>
      </c>
      <c r="J7" s="36">
        <f t="shared" si="0"/>
        <v>590</v>
      </c>
      <c r="K7" s="36">
        <f t="shared" si="0"/>
        <v>590</v>
      </c>
      <c r="L7" s="36">
        <f>K7*1.1</f>
        <v>649</v>
      </c>
      <c r="M7" s="36">
        <f t="shared" si="1"/>
        <v>649</v>
      </c>
      <c r="N7" s="36">
        <f t="shared" si="1"/>
        <v>649</v>
      </c>
      <c r="O7" s="36">
        <f t="shared" si="1"/>
        <v>649</v>
      </c>
      <c r="P7" s="213">
        <f t="shared" si="2"/>
        <v>649</v>
      </c>
      <c r="Q7" s="29"/>
      <c r="R7" s="13">
        <v>585</v>
      </c>
      <c r="S7" s="155"/>
    </row>
    <row r="8" spans="1:21" ht="19.5">
      <c r="A8" s="954">
        <f t="shared" si="3"/>
        <v>6</v>
      </c>
      <c r="B8" s="239" t="s">
        <v>1790</v>
      </c>
      <c r="C8" s="276" t="s">
        <v>1786</v>
      </c>
      <c r="D8" s="26">
        <v>45</v>
      </c>
      <c r="E8" s="36">
        <v>80</v>
      </c>
      <c r="F8" s="36">
        <v>80</v>
      </c>
      <c r="G8" s="36">
        <v>84</v>
      </c>
      <c r="H8" s="36">
        <v>312</v>
      </c>
      <c r="I8" s="36">
        <f t="shared" ref="I8:I30" si="4">H8</f>
        <v>312</v>
      </c>
      <c r="J8" s="36">
        <f t="shared" ref="J8:J30" si="5">I8</f>
        <v>312</v>
      </c>
      <c r="K8" s="36">
        <f t="shared" ref="K8:K30" si="6">J8</f>
        <v>312</v>
      </c>
      <c r="L8" s="36">
        <f t="shared" ref="L8:L30" si="7">K8*1.1</f>
        <v>343.20000000000005</v>
      </c>
      <c r="M8" s="36">
        <f t="shared" ref="M8:M30" si="8">L8</f>
        <v>343.20000000000005</v>
      </c>
      <c r="N8" s="36">
        <f t="shared" ref="N8:N30" si="9">M8</f>
        <v>343.20000000000005</v>
      </c>
      <c r="O8" s="36">
        <f t="shared" ref="O8:O30" si="10">N8</f>
        <v>343.20000000000005</v>
      </c>
      <c r="P8" s="213">
        <f t="shared" si="2"/>
        <v>343.20000000000005</v>
      </c>
      <c r="Q8" s="29"/>
      <c r="R8" s="13">
        <v>385</v>
      </c>
      <c r="S8" s="155"/>
    </row>
    <row r="9" spans="1:21" ht="19.5">
      <c r="A9" s="954">
        <f t="shared" si="3"/>
        <v>7</v>
      </c>
      <c r="B9" s="239" t="s">
        <v>1799</v>
      </c>
      <c r="C9" s="276" t="str">
        <f>C16</f>
        <v>लिटर</v>
      </c>
      <c r="D9" s="26">
        <v>50</v>
      </c>
      <c r="E9" s="36">
        <v>130</v>
      </c>
      <c r="F9" s="36">
        <v>120</v>
      </c>
      <c r="G9" s="36">
        <v>125</v>
      </c>
      <c r="H9" s="36">
        <v>156</v>
      </c>
      <c r="I9" s="36">
        <f>H9</f>
        <v>156</v>
      </c>
      <c r="J9" s="36">
        <f>I9</f>
        <v>156</v>
      </c>
      <c r="K9" s="36">
        <f>J9</f>
        <v>156</v>
      </c>
      <c r="L9" s="36">
        <f>K9*1.1</f>
        <v>171.60000000000002</v>
      </c>
      <c r="M9" s="36">
        <f>L9</f>
        <v>171.60000000000002</v>
      </c>
      <c r="N9" s="36">
        <f>M9</f>
        <v>171.60000000000002</v>
      </c>
      <c r="O9" s="36">
        <f>N9</f>
        <v>171.60000000000002</v>
      </c>
      <c r="P9" s="213">
        <f t="shared" si="2"/>
        <v>171.60000000000002</v>
      </c>
      <c r="Q9" s="29"/>
      <c r="S9" s="155"/>
    </row>
    <row r="10" spans="1:21" ht="19.5">
      <c r="A10" s="954">
        <f t="shared" si="3"/>
        <v>8</v>
      </c>
      <c r="B10" s="239" t="s">
        <v>2266</v>
      </c>
      <c r="C10" s="276" t="s">
        <v>1786</v>
      </c>
      <c r="D10" s="26">
        <v>275</v>
      </c>
      <c r="E10" s="36">
        <v>380</v>
      </c>
      <c r="F10" s="36">
        <v>380</v>
      </c>
      <c r="G10" s="36">
        <v>396</v>
      </c>
      <c r="H10" s="36">
        <v>534</v>
      </c>
      <c r="I10" s="36">
        <f t="shared" si="4"/>
        <v>534</v>
      </c>
      <c r="J10" s="36">
        <f t="shared" si="5"/>
        <v>534</v>
      </c>
      <c r="K10" s="36">
        <f t="shared" si="6"/>
        <v>534</v>
      </c>
      <c r="L10" s="36">
        <f t="shared" si="7"/>
        <v>587.40000000000009</v>
      </c>
      <c r="M10" s="36">
        <f t="shared" si="8"/>
        <v>587.40000000000009</v>
      </c>
      <c r="N10" s="36">
        <f t="shared" si="9"/>
        <v>587.40000000000009</v>
      </c>
      <c r="O10" s="36">
        <f t="shared" si="10"/>
        <v>587.40000000000009</v>
      </c>
      <c r="P10" s="213">
        <f t="shared" si="2"/>
        <v>587.40000000000009</v>
      </c>
      <c r="Q10" s="29"/>
      <c r="S10" s="155"/>
    </row>
    <row r="11" spans="1:21" ht="19.5">
      <c r="A11" s="954">
        <f t="shared" si="3"/>
        <v>9</v>
      </c>
      <c r="B11" s="239" t="s">
        <v>1792</v>
      </c>
      <c r="C11" s="276" t="s">
        <v>1786</v>
      </c>
      <c r="D11" s="26">
        <v>215</v>
      </c>
      <c r="E11" s="36">
        <v>335</v>
      </c>
      <c r="F11" s="36">
        <v>340</v>
      </c>
      <c r="G11" s="36">
        <v>355</v>
      </c>
      <c r="H11" s="36">
        <v>534</v>
      </c>
      <c r="I11" s="36">
        <f t="shared" si="4"/>
        <v>534</v>
      </c>
      <c r="J11" s="36">
        <f t="shared" si="5"/>
        <v>534</v>
      </c>
      <c r="K11" s="36">
        <f t="shared" si="6"/>
        <v>534</v>
      </c>
      <c r="L11" s="36">
        <f t="shared" si="7"/>
        <v>587.40000000000009</v>
      </c>
      <c r="M11" s="36">
        <f t="shared" si="8"/>
        <v>587.40000000000009</v>
      </c>
      <c r="N11" s="36">
        <f t="shared" si="9"/>
        <v>587.40000000000009</v>
      </c>
      <c r="O11" s="36">
        <f t="shared" si="10"/>
        <v>587.40000000000009</v>
      </c>
      <c r="P11" s="213">
        <f t="shared" si="2"/>
        <v>587.40000000000009</v>
      </c>
      <c r="Q11" s="29"/>
      <c r="S11" s="155"/>
    </row>
    <row r="12" spans="1:21" ht="19.5">
      <c r="A12" s="954">
        <f t="shared" si="3"/>
        <v>10</v>
      </c>
      <c r="B12" s="239" t="s">
        <v>1793</v>
      </c>
      <c r="C12" s="276" t="s">
        <v>1786</v>
      </c>
      <c r="D12" s="26">
        <v>170</v>
      </c>
      <c r="E12" s="36">
        <v>265</v>
      </c>
      <c r="F12" s="36">
        <v>265</v>
      </c>
      <c r="G12" s="36">
        <v>246</v>
      </c>
      <c r="H12" s="36">
        <v>343</v>
      </c>
      <c r="I12" s="36">
        <f t="shared" si="4"/>
        <v>343</v>
      </c>
      <c r="J12" s="36">
        <f t="shared" si="5"/>
        <v>343</v>
      </c>
      <c r="K12" s="36">
        <f t="shared" si="6"/>
        <v>343</v>
      </c>
      <c r="L12" s="36">
        <f t="shared" si="7"/>
        <v>377.3</v>
      </c>
      <c r="M12" s="36">
        <f t="shared" si="8"/>
        <v>377.3</v>
      </c>
      <c r="N12" s="36">
        <f t="shared" si="9"/>
        <v>377.3</v>
      </c>
      <c r="O12" s="36">
        <f t="shared" si="10"/>
        <v>377.3</v>
      </c>
      <c r="P12" s="213">
        <f t="shared" si="2"/>
        <v>377.3</v>
      </c>
      <c r="Q12" s="29"/>
      <c r="R12" s="13">
        <v>320</v>
      </c>
      <c r="S12" s="155"/>
    </row>
    <row r="13" spans="1:21" ht="19.5">
      <c r="A13" s="954">
        <f t="shared" si="3"/>
        <v>11</v>
      </c>
      <c r="B13" s="239" t="s">
        <v>1795</v>
      </c>
      <c r="C13" s="276" t="s">
        <v>1770</v>
      </c>
      <c r="D13" s="26">
        <v>200</v>
      </c>
      <c r="E13" s="36">
        <v>260</v>
      </c>
      <c r="F13" s="36">
        <v>265</v>
      </c>
      <c r="G13" s="36">
        <v>276</v>
      </c>
      <c r="H13" s="36">
        <v>195</v>
      </c>
      <c r="I13" s="36">
        <f t="shared" si="4"/>
        <v>195</v>
      </c>
      <c r="J13" s="36">
        <f t="shared" si="5"/>
        <v>195</v>
      </c>
      <c r="K13" s="36">
        <f t="shared" si="6"/>
        <v>195</v>
      </c>
      <c r="L13" s="36">
        <f t="shared" si="7"/>
        <v>214.50000000000003</v>
      </c>
      <c r="M13" s="36">
        <f t="shared" si="8"/>
        <v>214.50000000000003</v>
      </c>
      <c r="N13" s="36">
        <f t="shared" si="9"/>
        <v>214.50000000000003</v>
      </c>
      <c r="O13" s="36">
        <f t="shared" si="10"/>
        <v>214.50000000000003</v>
      </c>
      <c r="P13" s="213">
        <f t="shared" si="2"/>
        <v>214.50000000000003</v>
      </c>
      <c r="Q13" s="29"/>
      <c r="S13" s="155"/>
    </row>
    <row r="14" spans="1:21" ht="19.5">
      <c r="A14" s="954">
        <f t="shared" si="3"/>
        <v>12</v>
      </c>
      <c r="B14" s="239" t="s">
        <v>1796</v>
      </c>
      <c r="C14" s="276" t="str">
        <f>C5</f>
        <v>लिटर</v>
      </c>
      <c r="D14" s="26">
        <v>70</v>
      </c>
      <c r="E14" s="36">
        <v>110</v>
      </c>
      <c r="F14" s="36">
        <v>110</v>
      </c>
      <c r="G14" s="36">
        <v>115</v>
      </c>
      <c r="H14" s="36">
        <v>139</v>
      </c>
      <c r="I14" s="36">
        <f t="shared" si="4"/>
        <v>139</v>
      </c>
      <c r="J14" s="36">
        <f t="shared" si="5"/>
        <v>139</v>
      </c>
      <c r="K14" s="36">
        <f t="shared" si="6"/>
        <v>139</v>
      </c>
      <c r="L14" s="36">
        <f t="shared" si="7"/>
        <v>152.9</v>
      </c>
      <c r="M14" s="36">
        <f t="shared" si="8"/>
        <v>152.9</v>
      </c>
      <c r="N14" s="36">
        <f t="shared" si="9"/>
        <v>152.9</v>
      </c>
      <c r="O14" s="36">
        <f t="shared" si="10"/>
        <v>152.9</v>
      </c>
      <c r="P14" s="213">
        <f t="shared" si="2"/>
        <v>152.9</v>
      </c>
      <c r="Q14" s="29"/>
      <c r="S14" s="155"/>
    </row>
    <row r="15" spans="1:21" ht="19.5">
      <c r="A15" s="954">
        <f t="shared" si="3"/>
        <v>13</v>
      </c>
      <c r="B15" s="239" t="s">
        <v>1797</v>
      </c>
      <c r="C15" s="276" t="str">
        <f>C14</f>
        <v>लिटर</v>
      </c>
      <c r="D15" s="26">
        <v>45</v>
      </c>
      <c r="E15" s="36">
        <v>90</v>
      </c>
      <c r="F15" s="36">
        <v>95</v>
      </c>
      <c r="G15" s="36">
        <v>99</v>
      </c>
      <c r="H15" s="36">
        <v>87</v>
      </c>
      <c r="I15" s="36">
        <f t="shared" si="4"/>
        <v>87</v>
      </c>
      <c r="J15" s="36">
        <f t="shared" si="5"/>
        <v>87</v>
      </c>
      <c r="K15" s="36">
        <f t="shared" si="6"/>
        <v>87</v>
      </c>
      <c r="L15" s="36">
        <f t="shared" si="7"/>
        <v>95.7</v>
      </c>
      <c r="M15" s="36">
        <f t="shared" si="8"/>
        <v>95.7</v>
      </c>
      <c r="N15" s="36">
        <f t="shared" si="9"/>
        <v>95.7</v>
      </c>
      <c r="O15" s="36">
        <f t="shared" si="10"/>
        <v>95.7</v>
      </c>
      <c r="P15" s="213">
        <f t="shared" si="2"/>
        <v>95.7</v>
      </c>
      <c r="Q15" s="29"/>
      <c r="S15" s="155"/>
    </row>
    <row r="16" spans="1:21" ht="19.5">
      <c r="A16" s="954">
        <f t="shared" si="3"/>
        <v>14</v>
      </c>
      <c r="B16" s="239" t="s">
        <v>1798</v>
      </c>
      <c r="C16" s="276" t="str">
        <f t="shared" ref="C16" si="11">C15</f>
        <v>लिटर</v>
      </c>
      <c r="D16" s="26">
        <v>140</v>
      </c>
      <c r="E16" s="36">
        <v>165</v>
      </c>
      <c r="F16" s="36">
        <v>165</v>
      </c>
      <c r="G16" s="36">
        <v>172</v>
      </c>
      <c r="H16" s="36">
        <v>156</v>
      </c>
      <c r="I16" s="36">
        <f t="shared" si="4"/>
        <v>156</v>
      </c>
      <c r="J16" s="36">
        <f t="shared" si="5"/>
        <v>156</v>
      </c>
      <c r="K16" s="36">
        <f t="shared" si="6"/>
        <v>156</v>
      </c>
      <c r="L16" s="36">
        <f t="shared" si="7"/>
        <v>171.60000000000002</v>
      </c>
      <c r="M16" s="36">
        <f t="shared" si="8"/>
        <v>171.60000000000002</v>
      </c>
      <c r="N16" s="36">
        <f t="shared" si="9"/>
        <v>171.60000000000002</v>
      </c>
      <c r="O16" s="36">
        <f t="shared" si="10"/>
        <v>171.60000000000002</v>
      </c>
      <c r="P16" s="213">
        <f t="shared" si="2"/>
        <v>171.60000000000002</v>
      </c>
      <c r="Q16" s="29"/>
      <c r="S16" s="155"/>
    </row>
    <row r="17" spans="1:19" ht="19.5">
      <c r="A17" s="954">
        <f t="shared" si="3"/>
        <v>15</v>
      </c>
      <c r="B17" s="239" t="s">
        <v>1801</v>
      </c>
      <c r="C17" s="276" t="str">
        <f>C3</f>
        <v>के.जी.</v>
      </c>
      <c r="D17" s="26">
        <v>140</v>
      </c>
      <c r="E17" s="36">
        <v>165</v>
      </c>
      <c r="F17" s="36">
        <v>185</v>
      </c>
      <c r="G17" s="36">
        <v>190</v>
      </c>
      <c r="H17" s="36">
        <v>445</v>
      </c>
      <c r="I17" s="36">
        <f t="shared" si="4"/>
        <v>445</v>
      </c>
      <c r="J17" s="36">
        <f t="shared" si="5"/>
        <v>445</v>
      </c>
      <c r="K17" s="36">
        <f t="shared" si="6"/>
        <v>445</v>
      </c>
      <c r="L17" s="36">
        <f t="shared" si="7"/>
        <v>489.50000000000006</v>
      </c>
      <c r="M17" s="36">
        <f t="shared" si="8"/>
        <v>489.50000000000006</v>
      </c>
      <c r="N17" s="36">
        <f t="shared" si="9"/>
        <v>489.50000000000006</v>
      </c>
      <c r="O17" s="36">
        <f t="shared" si="10"/>
        <v>489.50000000000006</v>
      </c>
      <c r="P17" s="213">
        <f t="shared" si="2"/>
        <v>489.50000000000006</v>
      </c>
      <c r="Q17" s="29"/>
      <c r="S17" s="155"/>
    </row>
    <row r="18" spans="1:19" ht="19.5">
      <c r="A18" s="954">
        <f t="shared" si="3"/>
        <v>16</v>
      </c>
      <c r="B18" s="239" t="s">
        <v>1802</v>
      </c>
      <c r="C18" s="276" t="str">
        <f>C17</f>
        <v>के.जी.</v>
      </c>
      <c r="D18" s="26">
        <v>125</v>
      </c>
      <c r="E18" s="36">
        <v>170</v>
      </c>
      <c r="F18" s="36">
        <v>175</v>
      </c>
      <c r="G18" s="36">
        <v>183</v>
      </c>
      <c r="H18" s="36">
        <v>156</v>
      </c>
      <c r="I18" s="36">
        <f t="shared" si="4"/>
        <v>156</v>
      </c>
      <c r="J18" s="36">
        <f t="shared" si="5"/>
        <v>156</v>
      </c>
      <c r="K18" s="36">
        <f t="shared" si="6"/>
        <v>156</v>
      </c>
      <c r="L18" s="36">
        <f t="shared" si="7"/>
        <v>171.60000000000002</v>
      </c>
      <c r="M18" s="36">
        <f t="shared" si="8"/>
        <v>171.60000000000002</v>
      </c>
      <c r="N18" s="36">
        <f t="shared" si="9"/>
        <v>171.60000000000002</v>
      </c>
      <c r="O18" s="36">
        <f t="shared" si="10"/>
        <v>171.60000000000002</v>
      </c>
      <c r="P18" s="213">
        <f t="shared" si="2"/>
        <v>171.60000000000002</v>
      </c>
      <c r="Q18" s="29"/>
      <c r="S18" s="155"/>
    </row>
    <row r="19" spans="1:19" ht="19.5">
      <c r="A19" s="954">
        <f t="shared" si="3"/>
        <v>17</v>
      </c>
      <c r="B19" s="239" t="s">
        <v>1803</v>
      </c>
      <c r="C19" s="276" t="str">
        <f>C5</f>
        <v>लिटर</v>
      </c>
      <c r="D19" s="26"/>
      <c r="E19" s="36"/>
      <c r="F19" s="36"/>
      <c r="G19" s="36">
        <v>140</v>
      </c>
      <c r="H19" s="36">
        <v>195</v>
      </c>
      <c r="I19" s="36">
        <f t="shared" si="4"/>
        <v>195</v>
      </c>
      <c r="J19" s="36">
        <f t="shared" si="5"/>
        <v>195</v>
      </c>
      <c r="K19" s="36">
        <f t="shared" si="6"/>
        <v>195</v>
      </c>
      <c r="L19" s="36">
        <f t="shared" si="7"/>
        <v>214.50000000000003</v>
      </c>
      <c r="M19" s="36">
        <f t="shared" si="8"/>
        <v>214.50000000000003</v>
      </c>
      <c r="N19" s="36">
        <f t="shared" si="9"/>
        <v>214.50000000000003</v>
      </c>
      <c r="O19" s="36">
        <f t="shared" si="10"/>
        <v>214.50000000000003</v>
      </c>
      <c r="P19" s="213">
        <f t="shared" si="2"/>
        <v>214.50000000000003</v>
      </c>
      <c r="Q19" s="29"/>
      <c r="S19" s="155"/>
    </row>
    <row r="20" spans="1:19" ht="19.5">
      <c r="A20" s="954">
        <f t="shared" si="3"/>
        <v>18</v>
      </c>
      <c r="B20" s="239" t="s">
        <v>1814</v>
      </c>
      <c r="C20" s="276" t="str">
        <f>C17</f>
        <v>के.जी.</v>
      </c>
      <c r="D20" s="26"/>
      <c r="E20" s="36"/>
      <c r="F20" s="36"/>
      <c r="G20" s="36">
        <v>15</v>
      </c>
      <c r="H20" s="36">
        <v>22</v>
      </c>
      <c r="I20" s="36">
        <f t="shared" si="4"/>
        <v>22</v>
      </c>
      <c r="J20" s="36">
        <f t="shared" si="5"/>
        <v>22</v>
      </c>
      <c r="K20" s="36">
        <f t="shared" si="6"/>
        <v>22</v>
      </c>
      <c r="L20" s="36">
        <f t="shared" si="7"/>
        <v>24.200000000000003</v>
      </c>
      <c r="M20" s="36">
        <f t="shared" si="8"/>
        <v>24.200000000000003</v>
      </c>
      <c r="N20" s="36">
        <f t="shared" si="9"/>
        <v>24.200000000000003</v>
      </c>
      <c r="O20" s="36">
        <f t="shared" si="10"/>
        <v>24.200000000000003</v>
      </c>
      <c r="P20" s="213">
        <f t="shared" si="2"/>
        <v>24.200000000000003</v>
      </c>
      <c r="Q20" s="29"/>
      <c r="S20" s="155"/>
    </row>
    <row r="21" spans="1:19" ht="19.5">
      <c r="A21" s="954">
        <f t="shared" si="3"/>
        <v>19</v>
      </c>
      <c r="B21" s="239" t="s">
        <v>1813</v>
      </c>
      <c r="C21" s="276" t="str">
        <f>C20</f>
        <v>के.जी.</v>
      </c>
      <c r="D21" s="26"/>
      <c r="E21" s="36"/>
      <c r="F21" s="36"/>
      <c r="G21" s="36">
        <v>200</v>
      </c>
      <c r="H21" s="36">
        <v>289</v>
      </c>
      <c r="I21" s="36">
        <f t="shared" si="4"/>
        <v>289</v>
      </c>
      <c r="J21" s="36">
        <f t="shared" si="5"/>
        <v>289</v>
      </c>
      <c r="K21" s="36">
        <f t="shared" si="6"/>
        <v>289</v>
      </c>
      <c r="L21" s="36">
        <f t="shared" si="7"/>
        <v>317.90000000000003</v>
      </c>
      <c r="M21" s="36">
        <f t="shared" si="8"/>
        <v>317.90000000000003</v>
      </c>
      <c r="N21" s="36">
        <f t="shared" si="9"/>
        <v>317.90000000000003</v>
      </c>
      <c r="O21" s="36">
        <f t="shared" si="10"/>
        <v>317.90000000000003</v>
      </c>
      <c r="P21" s="213">
        <f t="shared" si="2"/>
        <v>317.90000000000003</v>
      </c>
      <c r="Q21" s="29"/>
      <c r="S21" s="155"/>
    </row>
    <row r="22" spans="1:19" ht="19.5">
      <c r="A22" s="954">
        <f t="shared" si="3"/>
        <v>20</v>
      </c>
      <c r="B22" s="239" t="s">
        <v>1812</v>
      </c>
      <c r="C22" s="276" t="str">
        <f>C21</f>
        <v>के.जी.</v>
      </c>
      <c r="D22" s="26"/>
      <c r="E22" s="36"/>
      <c r="F22" s="36"/>
      <c r="G22" s="36">
        <v>55</v>
      </c>
      <c r="H22" s="36">
        <v>79</v>
      </c>
      <c r="I22" s="36">
        <f t="shared" si="4"/>
        <v>79</v>
      </c>
      <c r="J22" s="36">
        <f t="shared" si="5"/>
        <v>79</v>
      </c>
      <c r="K22" s="36">
        <f t="shared" si="6"/>
        <v>79</v>
      </c>
      <c r="L22" s="36">
        <f t="shared" si="7"/>
        <v>86.9</v>
      </c>
      <c r="M22" s="36">
        <f t="shared" si="8"/>
        <v>86.9</v>
      </c>
      <c r="N22" s="36">
        <f t="shared" si="9"/>
        <v>86.9</v>
      </c>
      <c r="O22" s="36">
        <f t="shared" si="10"/>
        <v>86.9</v>
      </c>
      <c r="P22" s="213">
        <f t="shared" si="2"/>
        <v>86.9</v>
      </c>
      <c r="Q22" s="29"/>
      <c r="S22" s="155"/>
    </row>
    <row r="23" spans="1:19" ht="19.5">
      <c r="A23" s="954">
        <f t="shared" si="3"/>
        <v>21</v>
      </c>
      <c r="B23" s="239" t="s">
        <v>1811</v>
      </c>
      <c r="C23" s="276" t="s">
        <v>1786</v>
      </c>
      <c r="D23" s="26"/>
      <c r="E23" s="36"/>
      <c r="F23" s="36"/>
      <c r="G23" s="36">
        <v>240</v>
      </c>
      <c r="H23" s="36">
        <v>178</v>
      </c>
      <c r="I23" s="36">
        <f t="shared" si="4"/>
        <v>178</v>
      </c>
      <c r="J23" s="36">
        <f t="shared" si="5"/>
        <v>178</v>
      </c>
      <c r="K23" s="36">
        <f t="shared" si="6"/>
        <v>178</v>
      </c>
      <c r="L23" s="36">
        <f t="shared" si="7"/>
        <v>195.8</v>
      </c>
      <c r="M23" s="36">
        <f t="shared" si="8"/>
        <v>195.8</v>
      </c>
      <c r="N23" s="36">
        <f t="shared" si="9"/>
        <v>195.8</v>
      </c>
      <c r="O23" s="36">
        <f t="shared" si="10"/>
        <v>195.8</v>
      </c>
      <c r="P23" s="213">
        <f t="shared" si="2"/>
        <v>195.8</v>
      </c>
      <c r="Q23" s="29"/>
      <c r="S23" s="155"/>
    </row>
    <row r="24" spans="1:19" ht="19.5">
      <c r="A24" s="954">
        <f t="shared" si="3"/>
        <v>22</v>
      </c>
      <c r="B24" s="239" t="s">
        <v>1815</v>
      </c>
      <c r="C24" s="276" t="s">
        <v>1770</v>
      </c>
      <c r="D24" s="26">
        <v>255</v>
      </c>
      <c r="E24" s="36">
        <v>425</v>
      </c>
      <c r="F24" s="36">
        <v>425</v>
      </c>
      <c r="G24" s="36">
        <v>443</v>
      </c>
      <c r="H24" s="36">
        <v>1725</v>
      </c>
      <c r="I24" s="36">
        <f t="shared" si="4"/>
        <v>1725</v>
      </c>
      <c r="J24" s="36">
        <f t="shared" si="5"/>
        <v>1725</v>
      </c>
      <c r="K24" s="36">
        <f t="shared" si="6"/>
        <v>1725</v>
      </c>
      <c r="L24" s="36">
        <f t="shared" si="7"/>
        <v>1897.5000000000002</v>
      </c>
      <c r="M24" s="36">
        <f t="shared" si="8"/>
        <v>1897.5000000000002</v>
      </c>
      <c r="N24" s="36">
        <f t="shared" si="9"/>
        <v>1897.5000000000002</v>
      </c>
      <c r="O24" s="36">
        <f t="shared" si="10"/>
        <v>1897.5000000000002</v>
      </c>
      <c r="P24" s="213">
        <f t="shared" si="2"/>
        <v>1897.5000000000002</v>
      </c>
      <c r="Q24" s="29"/>
      <c r="S24" s="155"/>
    </row>
    <row r="25" spans="1:19" ht="19.5">
      <c r="A25" s="954">
        <f t="shared" si="3"/>
        <v>23</v>
      </c>
      <c r="B25" s="239" t="s">
        <v>1804</v>
      </c>
      <c r="C25" s="276" t="s">
        <v>1770</v>
      </c>
      <c r="D25" s="26">
        <v>10</v>
      </c>
      <c r="E25" s="36">
        <v>15</v>
      </c>
      <c r="F25" s="36">
        <v>15</v>
      </c>
      <c r="G25" s="36">
        <v>15</v>
      </c>
      <c r="H25" s="36">
        <v>20</v>
      </c>
      <c r="I25" s="36">
        <f t="shared" si="4"/>
        <v>20</v>
      </c>
      <c r="J25" s="36">
        <f t="shared" si="5"/>
        <v>20</v>
      </c>
      <c r="K25" s="36">
        <f t="shared" si="6"/>
        <v>20</v>
      </c>
      <c r="L25" s="36">
        <f t="shared" si="7"/>
        <v>22</v>
      </c>
      <c r="M25" s="36">
        <f t="shared" si="8"/>
        <v>22</v>
      </c>
      <c r="N25" s="36">
        <f t="shared" si="9"/>
        <v>22</v>
      </c>
      <c r="O25" s="36">
        <f t="shared" si="10"/>
        <v>22</v>
      </c>
      <c r="P25" s="213">
        <f t="shared" si="2"/>
        <v>22</v>
      </c>
      <c r="Q25" s="29"/>
      <c r="S25" s="155"/>
    </row>
    <row r="26" spans="1:19" ht="19.5">
      <c r="A26" s="954">
        <f t="shared" si="3"/>
        <v>24</v>
      </c>
      <c r="B26" s="239" t="s">
        <v>1805</v>
      </c>
      <c r="C26" s="276" t="s">
        <v>1770</v>
      </c>
      <c r="D26" s="26">
        <v>15</v>
      </c>
      <c r="E26" s="36">
        <v>25</v>
      </c>
      <c r="F26" s="36">
        <v>25</v>
      </c>
      <c r="G26" s="36">
        <v>26</v>
      </c>
      <c r="H26" s="36">
        <v>145</v>
      </c>
      <c r="I26" s="36">
        <f t="shared" si="4"/>
        <v>145</v>
      </c>
      <c r="J26" s="36">
        <f t="shared" si="5"/>
        <v>145</v>
      </c>
      <c r="K26" s="36">
        <f t="shared" si="6"/>
        <v>145</v>
      </c>
      <c r="L26" s="36">
        <f t="shared" si="7"/>
        <v>159.5</v>
      </c>
      <c r="M26" s="36">
        <f t="shared" si="8"/>
        <v>159.5</v>
      </c>
      <c r="N26" s="36">
        <f t="shared" si="9"/>
        <v>159.5</v>
      </c>
      <c r="O26" s="36">
        <f t="shared" si="10"/>
        <v>159.5</v>
      </c>
      <c r="P26" s="213">
        <f t="shared" si="2"/>
        <v>159.5</v>
      </c>
      <c r="Q26" s="29"/>
      <c r="S26" s="155"/>
    </row>
    <row r="27" spans="1:19" ht="19.5">
      <c r="A27" s="954">
        <f t="shared" si="3"/>
        <v>25</v>
      </c>
      <c r="B27" s="239" t="s">
        <v>1806</v>
      </c>
      <c r="C27" s="276" t="s">
        <v>1770</v>
      </c>
      <c r="D27" s="26">
        <v>50</v>
      </c>
      <c r="E27" s="36">
        <v>60</v>
      </c>
      <c r="F27" s="36">
        <v>50</v>
      </c>
      <c r="G27" s="36">
        <v>52</v>
      </c>
      <c r="H27" s="36">
        <v>56</v>
      </c>
      <c r="I27" s="36">
        <f t="shared" si="4"/>
        <v>56</v>
      </c>
      <c r="J27" s="36">
        <f t="shared" si="5"/>
        <v>56</v>
      </c>
      <c r="K27" s="36">
        <f t="shared" si="6"/>
        <v>56</v>
      </c>
      <c r="L27" s="36">
        <f t="shared" si="7"/>
        <v>61.600000000000009</v>
      </c>
      <c r="M27" s="36">
        <f t="shared" si="8"/>
        <v>61.600000000000009</v>
      </c>
      <c r="N27" s="36">
        <f t="shared" si="9"/>
        <v>61.600000000000009</v>
      </c>
      <c r="O27" s="36">
        <f t="shared" si="10"/>
        <v>61.600000000000009</v>
      </c>
      <c r="P27" s="213">
        <f t="shared" si="2"/>
        <v>61.600000000000009</v>
      </c>
      <c r="Q27" s="29"/>
      <c r="R27" s="13">
        <v>31.5</v>
      </c>
      <c r="S27" s="155"/>
    </row>
    <row r="28" spans="1:19" ht="19.5">
      <c r="A28" s="954">
        <f t="shared" si="3"/>
        <v>26</v>
      </c>
      <c r="B28" s="239" t="s">
        <v>1807</v>
      </c>
      <c r="C28" s="276" t="s">
        <v>1770</v>
      </c>
      <c r="D28" s="26">
        <v>230</v>
      </c>
      <c r="E28" s="36">
        <v>320</v>
      </c>
      <c r="F28" s="36">
        <v>320</v>
      </c>
      <c r="G28" s="36">
        <v>334</v>
      </c>
      <c r="H28" s="36">
        <v>534</v>
      </c>
      <c r="I28" s="36">
        <f t="shared" si="4"/>
        <v>534</v>
      </c>
      <c r="J28" s="36">
        <f t="shared" si="5"/>
        <v>534</v>
      </c>
      <c r="K28" s="36">
        <f t="shared" si="6"/>
        <v>534</v>
      </c>
      <c r="L28" s="36">
        <f t="shared" si="7"/>
        <v>587.40000000000009</v>
      </c>
      <c r="M28" s="36">
        <f t="shared" si="8"/>
        <v>587.40000000000009</v>
      </c>
      <c r="N28" s="36">
        <f t="shared" si="9"/>
        <v>587.40000000000009</v>
      </c>
      <c r="O28" s="36">
        <f t="shared" si="10"/>
        <v>587.40000000000009</v>
      </c>
      <c r="P28" s="213">
        <f t="shared" si="2"/>
        <v>587.40000000000009</v>
      </c>
      <c r="Q28" s="29"/>
      <c r="S28" s="155"/>
    </row>
    <row r="29" spans="1:19" ht="19.5">
      <c r="A29" s="954">
        <f t="shared" si="3"/>
        <v>27</v>
      </c>
      <c r="B29" s="239" t="s">
        <v>1808</v>
      </c>
      <c r="C29" s="276" t="s">
        <v>1786</v>
      </c>
      <c r="D29" s="26">
        <v>85</v>
      </c>
      <c r="E29" s="36">
        <v>135</v>
      </c>
      <c r="F29" s="36">
        <v>135</v>
      </c>
      <c r="G29" s="36">
        <v>141</v>
      </c>
      <c r="H29" s="36">
        <v>167</v>
      </c>
      <c r="I29" s="36">
        <f t="shared" si="4"/>
        <v>167</v>
      </c>
      <c r="J29" s="36">
        <f t="shared" si="5"/>
        <v>167</v>
      </c>
      <c r="K29" s="36">
        <f t="shared" si="6"/>
        <v>167</v>
      </c>
      <c r="L29" s="36">
        <f t="shared" si="7"/>
        <v>183.70000000000002</v>
      </c>
      <c r="M29" s="36">
        <f t="shared" si="8"/>
        <v>183.70000000000002</v>
      </c>
      <c r="N29" s="36">
        <f t="shared" si="9"/>
        <v>183.70000000000002</v>
      </c>
      <c r="O29" s="36">
        <f t="shared" si="10"/>
        <v>183.70000000000002</v>
      </c>
      <c r="P29" s="213">
        <f t="shared" si="2"/>
        <v>183.70000000000002</v>
      </c>
      <c r="Q29" s="29"/>
      <c r="S29" s="155"/>
    </row>
    <row r="30" spans="1:19" ht="19.5">
      <c r="A30" s="954">
        <f t="shared" si="3"/>
        <v>28</v>
      </c>
      <c r="B30" s="239" t="s">
        <v>1809</v>
      </c>
      <c r="C30" s="276" t="s">
        <v>1787</v>
      </c>
      <c r="D30" s="26">
        <v>8</v>
      </c>
      <c r="E30" s="36">
        <v>10</v>
      </c>
      <c r="F30" s="36">
        <v>10</v>
      </c>
      <c r="G30" s="36">
        <v>10</v>
      </c>
      <c r="H30" s="36">
        <v>17</v>
      </c>
      <c r="I30" s="36">
        <f t="shared" si="4"/>
        <v>17</v>
      </c>
      <c r="J30" s="36">
        <f t="shared" si="5"/>
        <v>17</v>
      </c>
      <c r="K30" s="36">
        <f t="shared" si="6"/>
        <v>17</v>
      </c>
      <c r="L30" s="36">
        <f t="shared" si="7"/>
        <v>18.700000000000003</v>
      </c>
      <c r="M30" s="36">
        <f t="shared" si="8"/>
        <v>18.700000000000003</v>
      </c>
      <c r="N30" s="36">
        <f t="shared" si="9"/>
        <v>18.700000000000003</v>
      </c>
      <c r="O30" s="36">
        <f t="shared" si="10"/>
        <v>18.700000000000003</v>
      </c>
      <c r="P30" s="213">
        <f t="shared" si="2"/>
        <v>18.700000000000003</v>
      </c>
      <c r="Q30" s="29"/>
      <c r="S30" s="155"/>
    </row>
    <row r="31" spans="1:19" ht="19.5">
      <c r="A31" s="954">
        <f>A30+1</f>
        <v>29</v>
      </c>
      <c r="B31" s="239" t="s">
        <v>2263</v>
      </c>
      <c r="C31" s="276" t="s">
        <v>1786</v>
      </c>
      <c r="D31" s="26"/>
      <c r="E31" s="36"/>
      <c r="F31" s="36"/>
      <c r="G31" s="36"/>
      <c r="H31" s="36"/>
      <c r="I31" s="36"/>
      <c r="J31" s="36"/>
      <c r="K31" s="36"/>
      <c r="L31" s="36"/>
      <c r="M31" s="1033" t="s">
        <v>2160</v>
      </c>
      <c r="N31" s="1033" t="s">
        <v>2160</v>
      </c>
      <c r="O31" s="36">
        <v>224</v>
      </c>
      <c r="P31" s="213">
        <f t="shared" si="2"/>
        <v>224</v>
      </c>
      <c r="Q31" s="1035"/>
      <c r="R31" s="13" t="s">
        <v>2021</v>
      </c>
      <c r="S31" s="155"/>
    </row>
    <row r="32" spans="1:19" ht="19.5">
      <c r="A32" s="954">
        <f t="shared" si="3"/>
        <v>30</v>
      </c>
      <c r="B32" s="239" t="s">
        <v>2264</v>
      </c>
      <c r="C32" s="276" t="s">
        <v>1786</v>
      </c>
      <c r="D32" s="26"/>
      <c r="E32" s="36"/>
      <c r="F32" s="36"/>
      <c r="G32" s="36"/>
      <c r="H32" s="36"/>
      <c r="I32" s="36"/>
      <c r="J32" s="36"/>
      <c r="K32" s="36"/>
      <c r="L32" s="36"/>
      <c r="M32" s="1033" t="s">
        <v>2160</v>
      </c>
      <c r="N32" s="1033" t="s">
        <v>2160</v>
      </c>
      <c r="O32" s="36">
        <v>270</v>
      </c>
      <c r="P32" s="213">
        <f t="shared" si="2"/>
        <v>270</v>
      </c>
      <c r="Q32" s="1035"/>
      <c r="R32" s="13" t="s">
        <v>2021</v>
      </c>
      <c r="S32" s="155"/>
    </row>
    <row r="33" spans="1:19" ht="19.5">
      <c r="A33" s="954">
        <f t="shared" si="3"/>
        <v>31</v>
      </c>
      <c r="B33" s="239" t="s">
        <v>2267</v>
      </c>
      <c r="C33" s="276" t="s">
        <v>1786</v>
      </c>
      <c r="D33" s="26"/>
      <c r="E33" s="36"/>
      <c r="F33" s="36"/>
      <c r="G33" s="36"/>
      <c r="H33" s="36"/>
      <c r="I33" s="36"/>
      <c r="J33" s="36"/>
      <c r="K33" s="36"/>
      <c r="L33" s="36"/>
      <c r="M33" s="1033" t="s">
        <v>2160</v>
      </c>
      <c r="N33" s="1033" t="s">
        <v>2160</v>
      </c>
      <c r="O33" s="36">
        <v>652</v>
      </c>
      <c r="P33" s="213">
        <f t="shared" si="2"/>
        <v>652</v>
      </c>
      <c r="Q33" s="1035"/>
      <c r="R33" s="13" t="s">
        <v>2021</v>
      </c>
      <c r="S33" s="155"/>
    </row>
    <row r="34" spans="1:19" ht="19.5">
      <c r="A34" s="954">
        <f t="shared" si="3"/>
        <v>32</v>
      </c>
      <c r="B34" s="239" t="s">
        <v>2265</v>
      </c>
      <c r="C34" s="276" t="s">
        <v>1770</v>
      </c>
      <c r="D34" s="26"/>
      <c r="E34" s="36"/>
      <c r="F34" s="36"/>
      <c r="G34" s="36"/>
      <c r="H34" s="36"/>
      <c r="I34" s="36"/>
      <c r="J34" s="36"/>
      <c r="K34" s="36"/>
      <c r="L34" s="36"/>
      <c r="M34" s="1033" t="s">
        <v>2160</v>
      </c>
      <c r="N34" s="1033" t="s">
        <v>2160</v>
      </c>
      <c r="O34" s="36">
        <v>141</v>
      </c>
      <c r="P34" s="213">
        <f t="shared" si="2"/>
        <v>141</v>
      </c>
      <c r="Q34" s="1035"/>
      <c r="R34" s="13" t="s">
        <v>2021</v>
      </c>
      <c r="S34" s="155"/>
    </row>
    <row r="35" spans="1:19" ht="19.5">
      <c r="A35" s="954">
        <f t="shared" si="3"/>
        <v>33</v>
      </c>
      <c r="B35" s="200" t="s">
        <v>2268</v>
      </c>
      <c r="C35" s="276" t="s">
        <v>1786</v>
      </c>
      <c r="D35" s="25"/>
      <c r="E35" s="117"/>
      <c r="F35" s="117"/>
      <c r="G35" s="117"/>
      <c r="H35" s="117"/>
      <c r="I35" s="117"/>
      <c r="J35" s="117"/>
      <c r="K35" s="117"/>
      <c r="L35" s="117"/>
      <c r="M35" s="1033" t="s">
        <v>2160</v>
      </c>
      <c r="N35" s="1033" t="s">
        <v>2160</v>
      </c>
      <c r="O35" s="36">
        <v>479</v>
      </c>
      <c r="P35" s="213">
        <f t="shared" si="2"/>
        <v>479</v>
      </c>
      <c r="Q35" s="1035"/>
      <c r="R35" s="13" t="s">
        <v>2021</v>
      </c>
    </row>
    <row r="36" spans="1:19" ht="19.5">
      <c r="A36" s="954">
        <f t="shared" si="3"/>
        <v>34</v>
      </c>
      <c r="B36" s="200" t="s">
        <v>2269</v>
      </c>
      <c r="C36" s="276" t="s">
        <v>1786</v>
      </c>
      <c r="D36" s="25"/>
      <c r="E36" s="117"/>
      <c r="F36" s="117"/>
      <c r="G36" s="117"/>
      <c r="H36" s="117"/>
      <c r="I36" s="117"/>
      <c r="J36" s="117"/>
      <c r="K36" s="117"/>
      <c r="L36" s="117"/>
      <c r="M36" s="1033" t="s">
        <v>2160</v>
      </c>
      <c r="N36" s="1033" t="s">
        <v>2160</v>
      </c>
      <c r="O36" s="36">
        <v>248</v>
      </c>
      <c r="P36" s="213">
        <f t="shared" si="2"/>
        <v>248</v>
      </c>
      <c r="Q36" s="1035"/>
      <c r="R36" s="13" t="s">
        <v>2021</v>
      </c>
    </row>
    <row r="37" spans="1:19" ht="19.5">
      <c r="A37" s="954">
        <f t="shared" si="3"/>
        <v>35</v>
      </c>
      <c r="B37" s="200" t="s">
        <v>2270</v>
      </c>
      <c r="C37" s="276" t="s">
        <v>1786</v>
      </c>
      <c r="D37" s="25"/>
      <c r="E37" s="117"/>
      <c r="F37" s="117"/>
      <c r="G37" s="117"/>
      <c r="H37" s="117"/>
      <c r="I37" s="117"/>
      <c r="J37" s="117"/>
      <c r="K37" s="117"/>
      <c r="L37" s="117"/>
      <c r="M37" s="1033" t="s">
        <v>2160</v>
      </c>
      <c r="N37" s="1033" t="s">
        <v>2160</v>
      </c>
      <c r="O37" s="36">
        <v>179</v>
      </c>
      <c r="P37" s="213">
        <f t="shared" si="2"/>
        <v>179</v>
      </c>
      <c r="Q37" s="1035"/>
      <c r="R37" s="13" t="s">
        <v>2021</v>
      </c>
    </row>
    <row r="38" spans="1:19" ht="19.5">
      <c r="A38" s="954">
        <f t="shared" si="3"/>
        <v>36</v>
      </c>
      <c r="B38" s="200" t="s">
        <v>2271</v>
      </c>
      <c r="C38" s="276" t="s">
        <v>1786</v>
      </c>
      <c r="D38" s="25"/>
      <c r="E38" s="117"/>
      <c r="F38" s="117"/>
      <c r="G38" s="117"/>
      <c r="H38" s="117"/>
      <c r="I38" s="117"/>
      <c r="J38" s="117"/>
      <c r="K38" s="117"/>
      <c r="L38" s="117"/>
      <c r="M38" s="1033" t="s">
        <v>2160</v>
      </c>
      <c r="N38" s="1033" t="s">
        <v>2160</v>
      </c>
      <c r="O38" s="36">
        <v>1153</v>
      </c>
      <c r="P38" s="213">
        <f t="shared" si="2"/>
        <v>1153</v>
      </c>
      <c r="Q38" s="1035"/>
      <c r="R38" s="13" t="s">
        <v>2021</v>
      </c>
    </row>
    <row r="39" spans="1:19" ht="25.5">
      <c r="A39" s="954">
        <f t="shared" si="3"/>
        <v>37</v>
      </c>
      <c r="B39" s="200" t="s">
        <v>2272</v>
      </c>
      <c r="C39" s="276" t="s">
        <v>1786</v>
      </c>
      <c r="D39" s="25"/>
      <c r="E39" s="117"/>
      <c r="F39" s="117"/>
      <c r="G39" s="117"/>
      <c r="H39" s="117"/>
      <c r="I39" s="117"/>
      <c r="J39" s="117"/>
      <c r="K39" s="117"/>
      <c r="L39" s="117"/>
      <c r="M39" s="1033" t="s">
        <v>2160</v>
      </c>
      <c r="N39" s="1033" t="s">
        <v>2160</v>
      </c>
      <c r="O39" s="36">
        <v>1186</v>
      </c>
      <c r="P39" s="213">
        <f t="shared" si="2"/>
        <v>1186</v>
      </c>
      <c r="Q39" s="1035"/>
      <c r="R39" s="13" t="s">
        <v>2021</v>
      </c>
    </row>
    <row r="40" spans="1:19" ht="19.5">
      <c r="A40" s="955">
        <f>A39+1</f>
        <v>38</v>
      </c>
      <c r="B40" s="816" t="s">
        <v>2273</v>
      </c>
      <c r="C40" s="817"/>
      <c r="D40" s="818"/>
      <c r="E40" s="819"/>
      <c r="F40" s="819"/>
      <c r="G40" s="819"/>
      <c r="H40" s="819"/>
      <c r="I40" s="819"/>
      <c r="J40" s="819"/>
      <c r="K40" s="819"/>
      <c r="L40" s="819"/>
      <c r="M40" s="819"/>
      <c r="N40" s="819"/>
      <c r="O40" s="820"/>
      <c r="P40" s="1201"/>
      <c r="Q40" s="870"/>
    </row>
    <row r="41" spans="1:19" ht="19.5">
      <c r="A41" s="948">
        <f>A40+0.01</f>
        <v>38.01</v>
      </c>
      <c r="B41" s="200" t="s">
        <v>2274</v>
      </c>
      <c r="C41" s="276" t="s">
        <v>1786</v>
      </c>
      <c r="D41" s="25"/>
      <c r="E41" s="117"/>
      <c r="F41" s="117"/>
      <c r="G41" s="117"/>
      <c r="H41" s="117"/>
      <c r="I41" s="117"/>
      <c r="J41" s="117"/>
      <c r="K41" s="117"/>
      <c r="L41" s="117"/>
      <c r="M41" s="1033" t="s">
        <v>2160</v>
      </c>
      <c r="N41" s="1033" t="s">
        <v>2160</v>
      </c>
      <c r="O41" s="36">
        <v>614</v>
      </c>
      <c r="P41" s="213">
        <f>O41</f>
        <v>614</v>
      </c>
      <c r="Q41" s="1035"/>
      <c r="R41" s="13" t="s">
        <v>2021</v>
      </c>
    </row>
    <row r="42" spans="1:19" ht="19.5">
      <c r="A42" s="948">
        <f t="shared" ref="A42:A43" si="12">A41+0.01</f>
        <v>38.019999999999996</v>
      </c>
      <c r="B42" s="200" t="s">
        <v>2275</v>
      </c>
      <c r="C42" s="276" t="s">
        <v>1786</v>
      </c>
      <c r="D42" s="25"/>
      <c r="E42" s="117"/>
      <c r="F42" s="117"/>
      <c r="G42" s="117"/>
      <c r="H42" s="117"/>
      <c r="I42" s="117"/>
      <c r="J42" s="117"/>
      <c r="K42" s="117"/>
      <c r="L42" s="117"/>
      <c r="M42" s="1033" t="s">
        <v>2160</v>
      </c>
      <c r="N42" s="1033" t="s">
        <v>2160</v>
      </c>
      <c r="O42" s="36">
        <v>525</v>
      </c>
      <c r="P42" s="213">
        <f t="shared" ref="P42:P43" si="13">O42</f>
        <v>525</v>
      </c>
      <c r="Q42" s="1035"/>
      <c r="R42" s="13" t="s">
        <v>2021</v>
      </c>
    </row>
    <row r="43" spans="1:19" ht="19.5">
      <c r="A43" s="948">
        <f t="shared" si="12"/>
        <v>38.029999999999994</v>
      </c>
      <c r="B43" s="200" t="s">
        <v>2276</v>
      </c>
      <c r="C43" s="276" t="s">
        <v>1786</v>
      </c>
      <c r="D43" s="25"/>
      <c r="E43" s="117"/>
      <c r="F43" s="117"/>
      <c r="G43" s="117"/>
      <c r="H43" s="117"/>
      <c r="I43" s="117"/>
      <c r="J43" s="117"/>
      <c r="K43" s="117"/>
      <c r="L43" s="117"/>
      <c r="M43" s="1033" t="s">
        <v>2160</v>
      </c>
      <c r="N43" s="1033" t="s">
        <v>2160</v>
      </c>
      <c r="O43" s="36">
        <v>336</v>
      </c>
      <c r="P43" s="213">
        <f t="shared" si="13"/>
        <v>336</v>
      </c>
      <c r="Q43" s="1035"/>
      <c r="R43" s="13" t="s">
        <v>2021</v>
      </c>
    </row>
    <row r="44" spans="1:19" ht="19.5">
      <c r="A44" s="956">
        <f>A40+1</f>
        <v>39</v>
      </c>
      <c r="B44" s="816" t="s">
        <v>2277</v>
      </c>
      <c r="C44" s="817"/>
      <c r="D44" s="818"/>
      <c r="E44" s="819"/>
      <c r="F44" s="819"/>
      <c r="G44" s="819"/>
      <c r="H44" s="819"/>
      <c r="I44" s="819"/>
      <c r="J44" s="819"/>
      <c r="K44" s="819"/>
      <c r="L44" s="819"/>
      <c r="M44" s="819"/>
      <c r="N44" s="819"/>
      <c r="O44" s="819"/>
      <c r="P44" s="1202"/>
      <c r="Q44" s="870"/>
    </row>
    <row r="45" spans="1:19" ht="19.5">
      <c r="A45" s="948">
        <f>A44+0.01</f>
        <v>39.01</v>
      </c>
      <c r="B45" s="200" t="s">
        <v>2278</v>
      </c>
      <c r="C45" s="276" t="s">
        <v>1786</v>
      </c>
      <c r="D45" s="25"/>
      <c r="E45" s="117"/>
      <c r="F45" s="117"/>
      <c r="G45" s="117"/>
      <c r="H45" s="117"/>
      <c r="I45" s="117"/>
      <c r="J45" s="117"/>
      <c r="K45" s="117"/>
      <c r="L45" s="117"/>
      <c r="M45" s="1033" t="s">
        <v>2160</v>
      </c>
      <c r="N45" s="1033" t="s">
        <v>2160</v>
      </c>
      <c r="O45" s="36">
        <v>298</v>
      </c>
      <c r="P45" s="213">
        <f>O45</f>
        <v>298</v>
      </c>
      <c r="Q45" s="1035"/>
      <c r="R45" s="13" t="s">
        <v>2021</v>
      </c>
    </row>
    <row r="46" spans="1:19" ht="19.5">
      <c r="A46" s="948">
        <f t="shared" ref="A46:A49" si="14">A45+0.01</f>
        <v>39.019999999999996</v>
      </c>
      <c r="B46" s="200" t="s">
        <v>2279</v>
      </c>
      <c r="C46" s="276" t="s">
        <v>1786</v>
      </c>
      <c r="D46" s="25"/>
      <c r="E46" s="117"/>
      <c r="F46" s="117"/>
      <c r="G46" s="117"/>
      <c r="H46" s="117"/>
      <c r="I46" s="117"/>
      <c r="J46" s="117"/>
      <c r="K46" s="117"/>
      <c r="L46" s="117"/>
      <c r="M46" s="1033" t="s">
        <v>2160</v>
      </c>
      <c r="N46" s="1033" t="s">
        <v>2160</v>
      </c>
      <c r="O46" s="36">
        <v>527</v>
      </c>
      <c r="P46" s="213">
        <f t="shared" ref="P46:P49" si="15">O46</f>
        <v>527</v>
      </c>
      <c r="Q46" s="1035"/>
      <c r="R46" s="13" t="s">
        <v>2021</v>
      </c>
    </row>
    <row r="47" spans="1:19" ht="19.5">
      <c r="A47" s="948">
        <f t="shared" si="14"/>
        <v>39.029999999999994</v>
      </c>
      <c r="B47" s="200" t="s">
        <v>2280</v>
      </c>
      <c r="C47" s="276" t="s">
        <v>1786</v>
      </c>
      <c r="D47" s="25"/>
      <c r="E47" s="117"/>
      <c r="F47" s="117"/>
      <c r="G47" s="117"/>
      <c r="H47" s="117"/>
      <c r="I47" s="117"/>
      <c r="J47" s="117"/>
      <c r="K47" s="117"/>
      <c r="L47" s="117"/>
      <c r="M47" s="1033" t="s">
        <v>2160</v>
      </c>
      <c r="N47" s="1033" t="s">
        <v>2160</v>
      </c>
      <c r="O47" s="36">
        <v>754</v>
      </c>
      <c r="P47" s="213">
        <f t="shared" si="15"/>
        <v>754</v>
      </c>
      <c r="Q47" s="1035"/>
      <c r="R47" s="13" t="s">
        <v>2021</v>
      </c>
    </row>
    <row r="48" spans="1:19" ht="19.5">
      <c r="A48" s="948">
        <f t="shared" si="14"/>
        <v>39.039999999999992</v>
      </c>
      <c r="B48" s="200" t="s">
        <v>2281</v>
      </c>
      <c r="C48" s="276" t="s">
        <v>1786</v>
      </c>
      <c r="D48" s="25"/>
      <c r="E48" s="117"/>
      <c r="F48" s="117"/>
      <c r="G48" s="117"/>
      <c r="H48" s="117"/>
      <c r="I48" s="117"/>
      <c r="J48" s="117"/>
      <c r="K48" s="117"/>
      <c r="L48" s="117"/>
      <c r="M48" s="1033" t="s">
        <v>2160</v>
      </c>
      <c r="N48" s="1033" t="s">
        <v>2160</v>
      </c>
      <c r="O48" s="36">
        <v>545</v>
      </c>
      <c r="P48" s="213">
        <f t="shared" si="15"/>
        <v>545</v>
      </c>
      <c r="Q48" s="1035"/>
      <c r="R48" s="13" t="s">
        <v>2021</v>
      </c>
    </row>
    <row r="49" spans="1:18" ht="20.25" thickBot="1">
      <c r="A49" s="952">
        <f t="shared" si="14"/>
        <v>39.04999999999999</v>
      </c>
      <c r="B49" s="957" t="s">
        <v>2282</v>
      </c>
      <c r="C49" s="889" t="s">
        <v>1786</v>
      </c>
      <c r="D49" s="73"/>
      <c r="E49" s="180"/>
      <c r="F49" s="180"/>
      <c r="G49" s="180"/>
      <c r="H49" s="180"/>
      <c r="I49" s="180"/>
      <c r="J49" s="180"/>
      <c r="K49" s="180"/>
      <c r="L49" s="180"/>
      <c r="M49" s="1065" t="s">
        <v>2160</v>
      </c>
      <c r="N49" s="1065" t="s">
        <v>2160</v>
      </c>
      <c r="O49" s="664">
        <v>292</v>
      </c>
      <c r="P49" s="213">
        <f t="shared" si="15"/>
        <v>292</v>
      </c>
      <c r="Q49" s="1064"/>
      <c r="R49" s="13" t="s">
        <v>2021</v>
      </c>
    </row>
  </sheetData>
  <mergeCells count="1">
    <mergeCell ref="A1:Q1"/>
  </mergeCells>
  <printOptions horizontalCentered="1"/>
  <pageMargins left="1.24" right="0.19" top="1.03" bottom="0.73" header="0.5" footer="0.56999999999999995"/>
  <pageSetup paperSize="9" scale="93"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AC227"/>
  <sheetViews>
    <sheetView tabSelected="1" view="pageLayout" zoomScale="85" zoomScaleNormal="100" zoomScaleSheetLayoutView="130" zoomScalePageLayoutView="85" workbookViewId="0">
      <selection activeCell="D24" sqref="D24"/>
    </sheetView>
  </sheetViews>
  <sheetFormatPr defaultColWidth="9.28515625" defaultRowHeight="15"/>
  <cols>
    <col min="1" max="1" width="6.7109375" style="60" customWidth="1"/>
    <col min="2" max="2" width="42.7109375" style="61" customWidth="1"/>
    <col min="3" max="3" width="9" style="60" customWidth="1"/>
    <col min="4" max="4" width="4.42578125" style="60" hidden="1" customWidth="1"/>
    <col min="5" max="5" width="9.7109375" style="62" hidden="1" customWidth="1"/>
    <col min="6" max="6" width="10.28515625" style="62" hidden="1" customWidth="1"/>
    <col min="7" max="7" width="4.42578125" style="62" hidden="1" customWidth="1"/>
    <col min="8" max="8" width="13.42578125" style="62" hidden="1" customWidth="1"/>
    <col min="9" max="9" width="13.28515625" style="62" hidden="1" customWidth="1"/>
    <col min="10" max="14" width="12.42578125" style="62" hidden="1" customWidth="1"/>
    <col min="15" max="17" width="12.42578125" style="62" customWidth="1"/>
    <col min="18" max="18" width="7.42578125" style="13" customWidth="1"/>
    <col min="19" max="19" width="9.28515625" style="13"/>
    <col min="20" max="20" width="14.28515625" style="13" customWidth="1"/>
    <col min="21" max="23" width="9.28515625" style="13"/>
    <col min="24" max="25" width="12.85546875" style="13" customWidth="1"/>
    <col min="26" max="26" width="9.28515625" style="13"/>
    <col min="27" max="27" width="15.28515625" style="13" customWidth="1"/>
    <col min="28" max="16384" width="9.28515625" style="13"/>
  </cols>
  <sheetData>
    <row r="1" spans="1:20" ht="29.25" thickBot="1">
      <c r="A1" s="1606" t="s">
        <v>2286</v>
      </c>
      <c r="B1" s="1606"/>
      <c r="C1" s="1606"/>
      <c r="D1" s="1606"/>
      <c r="E1" s="1606"/>
      <c r="F1" s="1606"/>
      <c r="G1" s="1606"/>
      <c r="H1" s="1606"/>
      <c r="I1" s="1606"/>
      <c r="J1" s="1606"/>
      <c r="K1" s="1606"/>
      <c r="L1" s="1606"/>
      <c r="M1" s="1606"/>
      <c r="N1" s="1606"/>
      <c r="O1" s="1606"/>
      <c r="P1" s="1606"/>
      <c r="Q1" s="1606"/>
      <c r="R1" s="1606"/>
      <c r="S1" s="333"/>
      <c r="T1" s="333"/>
    </row>
    <row r="2" spans="1:20" ht="60" customHeight="1">
      <c r="A2" s="481" t="s">
        <v>0</v>
      </c>
      <c r="B2" s="482" t="s">
        <v>51</v>
      </c>
      <c r="C2" s="482" t="s">
        <v>8</v>
      </c>
      <c r="D2" s="484" t="s">
        <v>52</v>
      </c>
      <c r="E2" s="485" t="s">
        <v>53</v>
      </c>
      <c r="F2" s="485" t="s">
        <v>54</v>
      </c>
      <c r="G2" s="485" t="s">
        <v>55</v>
      </c>
      <c r="H2" s="486" t="s">
        <v>1415</v>
      </c>
      <c r="I2" s="486" t="s">
        <v>1419</v>
      </c>
      <c r="J2" s="486" t="s">
        <v>1417</v>
      </c>
      <c r="K2" s="486" t="s">
        <v>1428</v>
      </c>
      <c r="L2" s="486" t="s">
        <v>1432</v>
      </c>
      <c r="M2" s="486" t="s">
        <v>1432</v>
      </c>
      <c r="N2" s="487" t="str">
        <f>'Rang rogan'!M2</f>
        <v>आ.व. २०८०/०८१ को दररेट</v>
      </c>
      <c r="O2" s="487" t="str">
        <f>'Rang rogan'!N2</f>
        <v>आ.व. २०८१/०८२ को दररेट</v>
      </c>
      <c r="P2" s="487" t="str">
        <f>'Rang rogan'!O2</f>
        <v>आ.व. २०८२/०८३ को दररेट</v>
      </c>
      <c r="Q2" s="487" t="str">
        <f>'Rang rogan'!P2</f>
        <v>आ.व. २०८३/०८४ को दररेट</v>
      </c>
      <c r="R2" s="483" t="s">
        <v>9</v>
      </c>
      <c r="S2" s="333"/>
      <c r="T2" s="333"/>
    </row>
    <row r="3" spans="1:20" ht="15" customHeight="1">
      <c r="A3" s="498" t="s">
        <v>1403</v>
      </c>
      <c r="B3" s="499" t="s">
        <v>191</v>
      </c>
      <c r="C3" s="500"/>
      <c r="D3" s="501"/>
      <c r="E3" s="502"/>
      <c r="F3" s="502"/>
      <c r="G3" s="502"/>
      <c r="H3" s="502"/>
      <c r="I3" s="502"/>
      <c r="J3" s="502"/>
      <c r="K3" s="502"/>
      <c r="L3" s="502"/>
      <c r="M3" s="502"/>
      <c r="N3" s="502"/>
      <c r="O3" s="502"/>
      <c r="P3" s="502"/>
      <c r="Q3" s="1208"/>
      <c r="R3" s="503"/>
      <c r="S3" s="333"/>
      <c r="T3" s="333"/>
    </row>
    <row r="4" spans="1:20" ht="18">
      <c r="A4" s="504">
        <v>1.1000000000000001</v>
      </c>
      <c r="B4" s="505" t="s">
        <v>192</v>
      </c>
      <c r="C4" s="37"/>
      <c r="D4" s="38"/>
      <c r="E4" s="39"/>
      <c r="F4" s="39"/>
      <c r="G4" s="39"/>
      <c r="H4" s="39"/>
      <c r="I4" s="39"/>
      <c r="J4" s="39"/>
      <c r="K4" s="39"/>
      <c r="L4" s="39"/>
      <c r="M4" s="39"/>
      <c r="N4" s="39"/>
      <c r="O4" s="39"/>
      <c r="P4" s="39"/>
      <c r="Q4" s="40"/>
      <c r="R4" s="506"/>
      <c r="S4" s="333"/>
      <c r="T4" s="333"/>
    </row>
    <row r="5" spans="1:20" ht="18">
      <c r="A5" s="507" t="s">
        <v>2112</v>
      </c>
      <c r="B5" s="488" t="s">
        <v>193</v>
      </c>
      <c r="C5" s="37" t="s">
        <v>88</v>
      </c>
      <c r="D5" s="38">
        <v>550</v>
      </c>
      <c r="E5" s="143">
        <v>650</v>
      </c>
      <c r="F5" s="143">
        <v>550</v>
      </c>
      <c r="G5" s="143">
        <v>550</v>
      </c>
      <c r="H5" s="143">
        <v>735</v>
      </c>
      <c r="I5" s="279">
        <v>770</v>
      </c>
      <c r="J5" s="279">
        <f>I5</f>
        <v>770</v>
      </c>
      <c r="K5" s="279">
        <f>J5</f>
        <v>770</v>
      </c>
      <c r="L5" s="279">
        <f>K5</f>
        <v>770</v>
      </c>
      <c r="M5" s="279">
        <f>L5*1.1</f>
        <v>847.00000000000011</v>
      </c>
      <c r="N5" s="279">
        <f>M5</f>
        <v>847.00000000000011</v>
      </c>
      <c r="O5" s="279">
        <f>N5</f>
        <v>847.00000000000011</v>
      </c>
      <c r="P5" s="279">
        <f>O5</f>
        <v>847.00000000000011</v>
      </c>
      <c r="Q5" s="1206">
        <f t="shared" ref="P5:Q70" si="0">P5</f>
        <v>847.00000000000011</v>
      </c>
      <c r="R5" s="163"/>
      <c r="S5" s="333"/>
      <c r="T5" s="496"/>
    </row>
    <row r="6" spans="1:20" ht="18">
      <c r="A6" s="507" t="s">
        <v>2113</v>
      </c>
      <c r="B6" s="488" t="s">
        <v>194</v>
      </c>
      <c r="C6" s="37" t="s">
        <v>88</v>
      </c>
      <c r="D6" s="38">
        <v>865</v>
      </c>
      <c r="E6" s="143">
        <v>1050</v>
      </c>
      <c r="F6" s="143">
        <v>950</v>
      </c>
      <c r="G6" s="143">
        <v>950</v>
      </c>
      <c r="H6" s="143">
        <v>1128.75</v>
      </c>
      <c r="I6" s="279">
        <v>1185</v>
      </c>
      <c r="J6" s="279">
        <f t="shared" ref="J6:J9" si="1">I6</f>
        <v>1185</v>
      </c>
      <c r="K6" s="279">
        <f t="shared" ref="K6:K72" si="2">J6</f>
        <v>1185</v>
      </c>
      <c r="L6" s="279">
        <f t="shared" ref="L6:L72" si="3">K6</f>
        <v>1185</v>
      </c>
      <c r="M6" s="279">
        <f t="shared" ref="M6:M72" si="4">L6*1.1</f>
        <v>1303.5</v>
      </c>
      <c r="N6" s="279">
        <f t="shared" ref="N6:N55" si="5">M6</f>
        <v>1303.5</v>
      </c>
      <c r="O6" s="279">
        <f t="shared" ref="O6:O7" si="6">N6</f>
        <v>1303.5</v>
      </c>
      <c r="P6" s="279">
        <f t="shared" si="0"/>
        <v>1303.5</v>
      </c>
      <c r="Q6" s="1206">
        <f t="shared" si="0"/>
        <v>1303.5</v>
      </c>
      <c r="R6" s="163"/>
      <c r="S6" s="333"/>
      <c r="T6" s="496"/>
    </row>
    <row r="7" spans="1:20" ht="18">
      <c r="A7" s="507" t="s">
        <v>2114</v>
      </c>
      <c r="B7" s="488" t="s">
        <v>195</v>
      </c>
      <c r="C7" s="37" t="s">
        <v>88</v>
      </c>
      <c r="D7" s="38">
        <v>1100</v>
      </c>
      <c r="E7" s="143">
        <v>1500</v>
      </c>
      <c r="F7" s="143">
        <v>1400</v>
      </c>
      <c r="G7" s="143">
        <v>1400</v>
      </c>
      <c r="H7" s="143">
        <v>1207.5</v>
      </c>
      <c r="I7" s="279">
        <v>1265</v>
      </c>
      <c r="J7" s="279">
        <f t="shared" si="1"/>
        <v>1265</v>
      </c>
      <c r="K7" s="279">
        <f t="shared" si="2"/>
        <v>1265</v>
      </c>
      <c r="L7" s="279">
        <f t="shared" si="3"/>
        <v>1265</v>
      </c>
      <c r="M7" s="279">
        <f t="shared" si="4"/>
        <v>1391.5</v>
      </c>
      <c r="N7" s="279">
        <f t="shared" si="5"/>
        <v>1391.5</v>
      </c>
      <c r="O7" s="279">
        <f t="shared" si="6"/>
        <v>1391.5</v>
      </c>
      <c r="P7" s="279">
        <f t="shared" si="0"/>
        <v>1391.5</v>
      </c>
      <c r="Q7" s="1206">
        <f t="shared" si="0"/>
        <v>1391.5</v>
      </c>
      <c r="R7" s="163"/>
      <c r="S7" s="333"/>
      <c r="T7" s="496"/>
    </row>
    <row r="8" spans="1:20" ht="18">
      <c r="A8" s="504">
        <v>1.2</v>
      </c>
      <c r="B8" s="67" t="s">
        <v>196</v>
      </c>
      <c r="C8" s="37" t="s">
        <v>88</v>
      </c>
      <c r="D8" s="38">
        <v>2000</v>
      </c>
      <c r="E8" s="143">
        <v>2800</v>
      </c>
      <c r="F8" s="143">
        <v>2800</v>
      </c>
      <c r="G8" s="143">
        <v>2800</v>
      </c>
      <c r="H8" s="143">
        <v>2520</v>
      </c>
      <c r="I8" s="279">
        <v>2645</v>
      </c>
      <c r="J8" s="279">
        <f t="shared" si="1"/>
        <v>2645</v>
      </c>
      <c r="K8" s="279">
        <f t="shared" si="2"/>
        <v>2645</v>
      </c>
      <c r="L8" s="279">
        <f t="shared" si="3"/>
        <v>2645</v>
      </c>
      <c r="M8" s="279">
        <f t="shared" si="4"/>
        <v>2909.5000000000005</v>
      </c>
      <c r="N8" s="279">
        <f t="shared" si="5"/>
        <v>2909.5000000000005</v>
      </c>
      <c r="O8" s="279">
        <v>9180</v>
      </c>
      <c r="P8" s="279">
        <f t="shared" si="0"/>
        <v>9180</v>
      </c>
      <c r="Q8" s="1206">
        <f t="shared" si="0"/>
        <v>9180</v>
      </c>
      <c r="R8" s="163"/>
      <c r="S8" s="333"/>
      <c r="T8" s="496"/>
    </row>
    <row r="9" spans="1:20" ht="18">
      <c r="A9" s="504">
        <v>1.3</v>
      </c>
      <c r="B9" s="67" t="s">
        <v>197</v>
      </c>
      <c r="C9" s="37" t="s">
        <v>88</v>
      </c>
      <c r="D9" s="38">
        <v>500</v>
      </c>
      <c r="E9" s="143">
        <v>600</v>
      </c>
      <c r="F9" s="143">
        <v>450</v>
      </c>
      <c r="G9" s="143">
        <v>450</v>
      </c>
      <c r="H9" s="143">
        <v>682.5</v>
      </c>
      <c r="I9" s="279">
        <v>715</v>
      </c>
      <c r="J9" s="279">
        <f t="shared" si="1"/>
        <v>715</v>
      </c>
      <c r="K9" s="279">
        <f t="shared" si="2"/>
        <v>715</v>
      </c>
      <c r="L9" s="279">
        <f t="shared" si="3"/>
        <v>715</v>
      </c>
      <c r="M9" s="279">
        <f t="shared" si="4"/>
        <v>786.50000000000011</v>
      </c>
      <c r="N9" s="279">
        <f t="shared" si="5"/>
        <v>786.50000000000011</v>
      </c>
      <c r="O9" s="279">
        <f>N9</f>
        <v>786.50000000000011</v>
      </c>
      <c r="P9" s="279">
        <f t="shared" si="0"/>
        <v>786.50000000000011</v>
      </c>
      <c r="Q9" s="1206">
        <f t="shared" si="0"/>
        <v>786.50000000000011</v>
      </c>
      <c r="R9" s="163"/>
      <c r="S9" s="333"/>
      <c r="T9" s="496"/>
    </row>
    <row r="10" spans="1:20" ht="18">
      <c r="A10" s="508">
        <v>1.4</v>
      </c>
      <c r="B10" s="489" t="s">
        <v>198</v>
      </c>
      <c r="C10" s="445"/>
      <c r="D10" s="389"/>
      <c r="E10" s="464"/>
      <c r="F10" s="464"/>
      <c r="G10" s="464"/>
      <c r="H10" s="464"/>
      <c r="I10" s="464"/>
      <c r="J10" s="464"/>
      <c r="K10" s="464"/>
      <c r="L10" s="464"/>
      <c r="M10" s="464"/>
      <c r="N10" s="464"/>
      <c r="O10" s="464"/>
      <c r="P10" s="464"/>
      <c r="Q10" s="1204"/>
      <c r="R10" s="509"/>
      <c r="S10" s="333"/>
      <c r="T10" s="496"/>
    </row>
    <row r="11" spans="1:20" ht="18">
      <c r="A11" s="507" t="s">
        <v>2115</v>
      </c>
      <c r="B11" s="67" t="s">
        <v>1467</v>
      </c>
      <c r="C11" s="37" t="s">
        <v>88</v>
      </c>
      <c r="D11" s="38"/>
      <c r="E11" s="143"/>
      <c r="F11" s="143"/>
      <c r="G11" s="143"/>
      <c r="H11" s="143"/>
      <c r="I11" s="279"/>
      <c r="J11" s="279"/>
      <c r="K11" s="279"/>
      <c r="L11" s="279"/>
      <c r="M11" s="279">
        <v>12000</v>
      </c>
      <c r="N11" s="279">
        <f t="shared" si="5"/>
        <v>12000</v>
      </c>
      <c r="O11" s="279">
        <f>N11</f>
        <v>12000</v>
      </c>
      <c r="P11" s="279">
        <f t="shared" si="0"/>
        <v>12000</v>
      </c>
      <c r="Q11" s="1206">
        <f t="shared" si="0"/>
        <v>12000</v>
      </c>
      <c r="R11" s="1047"/>
      <c r="S11" s="333"/>
      <c r="T11" s="496"/>
    </row>
    <row r="12" spans="1:20" ht="18">
      <c r="A12" s="507" t="s">
        <v>2116</v>
      </c>
      <c r="B12" s="67" t="s">
        <v>199</v>
      </c>
      <c r="C12" s="37" t="s">
        <v>88</v>
      </c>
      <c r="D12" s="38">
        <v>2275</v>
      </c>
      <c r="E12" s="143">
        <v>2400</v>
      </c>
      <c r="F12" s="143">
        <v>2400</v>
      </c>
      <c r="G12" s="143">
        <v>2450</v>
      </c>
      <c r="H12" s="143">
        <v>1207.5</v>
      </c>
      <c r="I12" s="279">
        <v>1265</v>
      </c>
      <c r="J12" s="279">
        <f>I12</f>
        <v>1265</v>
      </c>
      <c r="K12" s="279">
        <f t="shared" si="2"/>
        <v>1265</v>
      </c>
      <c r="L12" s="279">
        <f t="shared" si="3"/>
        <v>1265</v>
      </c>
      <c r="M12" s="279">
        <f t="shared" si="4"/>
        <v>1391.5</v>
      </c>
      <c r="N12" s="279">
        <f t="shared" si="5"/>
        <v>1391.5</v>
      </c>
      <c r="O12" s="279">
        <f t="shared" ref="O12:O14" si="7">N12</f>
        <v>1391.5</v>
      </c>
      <c r="P12" s="279">
        <f t="shared" si="0"/>
        <v>1391.5</v>
      </c>
      <c r="Q12" s="1206">
        <f t="shared" si="0"/>
        <v>1391.5</v>
      </c>
      <c r="R12" s="163"/>
      <c r="S12" s="333"/>
      <c r="T12" s="496"/>
    </row>
    <row r="13" spans="1:20" ht="18">
      <c r="A13" s="507" t="s">
        <v>2117</v>
      </c>
      <c r="B13" s="67" t="s">
        <v>200</v>
      </c>
      <c r="C13" s="37" t="s">
        <v>88</v>
      </c>
      <c r="D13" s="38">
        <v>1475</v>
      </c>
      <c r="E13" s="143">
        <v>1600</v>
      </c>
      <c r="F13" s="143">
        <v>1600</v>
      </c>
      <c r="G13" s="143">
        <v>1650</v>
      </c>
      <c r="H13" s="143">
        <v>1575</v>
      </c>
      <c r="I13" s="279">
        <v>1650</v>
      </c>
      <c r="J13" s="279">
        <f t="shared" ref="J13:J14" si="8">I13</f>
        <v>1650</v>
      </c>
      <c r="K13" s="279">
        <f t="shared" si="2"/>
        <v>1650</v>
      </c>
      <c r="L13" s="279">
        <f t="shared" si="3"/>
        <v>1650</v>
      </c>
      <c r="M13" s="279">
        <f t="shared" si="4"/>
        <v>1815.0000000000002</v>
      </c>
      <c r="N13" s="279">
        <f t="shared" si="5"/>
        <v>1815.0000000000002</v>
      </c>
      <c r="O13" s="279">
        <f t="shared" si="7"/>
        <v>1815.0000000000002</v>
      </c>
      <c r="P13" s="279">
        <f t="shared" si="0"/>
        <v>1815.0000000000002</v>
      </c>
      <c r="Q13" s="1206">
        <f t="shared" si="0"/>
        <v>1815.0000000000002</v>
      </c>
      <c r="R13" s="163"/>
      <c r="S13" s="333"/>
      <c r="T13" s="496"/>
    </row>
    <row r="14" spans="1:20" ht="18">
      <c r="A14" s="507" t="s">
        <v>2118</v>
      </c>
      <c r="B14" s="67" t="s">
        <v>201</v>
      </c>
      <c r="C14" s="37" t="s">
        <v>88</v>
      </c>
      <c r="D14" s="38"/>
      <c r="E14" s="143">
        <v>1150</v>
      </c>
      <c r="F14" s="143">
        <v>1150</v>
      </c>
      <c r="G14" s="143">
        <v>1150</v>
      </c>
      <c r="H14" s="143">
        <v>997.5</v>
      </c>
      <c r="I14" s="279">
        <v>1045</v>
      </c>
      <c r="J14" s="279">
        <f t="shared" si="8"/>
        <v>1045</v>
      </c>
      <c r="K14" s="279">
        <f t="shared" si="2"/>
        <v>1045</v>
      </c>
      <c r="L14" s="279">
        <f t="shared" si="3"/>
        <v>1045</v>
      </c>
      <c r="M14" s="279">
        <f t="shared" si="4"/>
        <v>1149.5</v>
      </c>
      <c r="N14" s="279">
        <f t="shared" si="5"/>
        <v>1149.5</v>
      </c>
      <c r="O14" s="279">
        <f t="shared" si="7"/>
        <v>1149.5</v>
      </c>
      <c r="P14" s="279">
        <f t="shared" si="0"/>
        <v>1149.5</v>
      </c>
      <c r="Q14" s="1206">
        <f t="shared" si="0"/>
        <v>1149.5</v>
      </c>
      <c r="R14" s="163"/>
      <c r="S14" s="333"/>
      <c r="T14" s="496"/>
    </row>
    <row r="15" spans="1:20" ht="18">
      <c r="A15" s="508">
        <v>1.5</v>
      </c>
      <c r="B15" s="489" t="s">
        <v>202</v>
      </c>
      <c r="C15" s="445"/>
      <c r="D15" s="389"/>
      <c r="E15" s="464"/>
      <c r="F15" s="464"/>
      <c r="G15" s="464"/>
      <c r="H15" s="464"/>
      <c r="I15" s="464"/>
      <c r="J15" s="464"/>
      <c r="K15" s="464"/>
      <c r="L15" s="464"/>
      <c r="M15" s="464"/>
      <c r="N15" s="464"/>
      <c r="O15" s="464"/>
      <c r="P15" s="464"/>
      <c r="Q15" s="1204"/>
      <c r="R15" s="509"/>
      <c r="S15" s="333"/>
      <c r="T15" s="496"/>
    </row>
    <row r="16" spans="1:20" ht="18">
      <c r="A16" s="507" t="s">
        <v>2119</v>
      </c>
      <c r="B16" s="488" t="s">
        <v>194</v>
      </c>
      <c r="C16" s="37" t="s">
        <v>88</v>
      </c>
      <c r="D16" s="38">
        <v>650</v>
      </c>
      <c r="E16" s="143">
        <v>775</v>
      </c>
      <c r="F16" s="143">
        <v>775</v>
      </c>
      <c r="G16" s="143">
        <v>650</v>
      </c>
      <c r="H16" s="143">
        <v>787.5</v>
      </c>
      <c r="I16" s="279">
        <v>825</v>
      </c>
      <c r="J16" s="279">
        <f>I16</f>
        <v>825</v>
      </c>
      <c r="K16" s="279">
        <f t="shared" si="2"/>
        <v>825</v>
      </c>
      <c r="L16" s="279">
        <f t="shared" si="3"/>
        <v>825</v>
      </c>
      <c r="M16" s="279">
        <f t="shared" si="4"/>
        <v>907.50000000000011</v>
      </c>
      <c r="N16" s="279">
        <f t="shared" si="5"/>
        <v>907.50000000000011</v>
      </c>
      <c r="O16" s="279">
        <f>N16</f>
        <v>907.50000000000011</v>
      </c>
      <c r="P16" s="279">
        <f t="shared" si="0"/>
        <v>907.50000000000011</v>
      </c>
      <c r="Q16" s="1206">
        <f t="shared" si="0"/>
        <v>907.50000000000011</v>
      </c>
      <c r="R16" s="163"/>
      <c r="S16" s="333"/>
      <c r="T16" s="496"/>
    </row>
    <row r="17" spans="1:20" ht="18">
      <c r="A17" s="507" t="s">
        <v>2120</v>
      </c>
      <c r="B17" s="488" t="s">
        <v>203</v>
      </c>
      <c r="C17" s="37" t="s">
        <v>88</v>
      </c>
      <c r="D17" s="38">
        <v>820</v>
      </c>
      <c r="E17" s="143">
        <v>950</v>
      </c>
      <c r="F17" s="143">
        <v>950</v>
      </c>
      <c r="G17" s="143">
        <v>900</v>
      </c>
      <c r="H17" s="143">
        <v>1155</v>
      </c>
      <c r="I17" s="279">
        <v>1210</v>
      </c>
      <c r="J17" s="279">
        <f t="shared" ref="J17:J18" si="9">I17</f>
        <v>1210</v>
      </c>
      <c r="K17" s="279">
        <f t="shared" si="2"/>
        <v>1210</v>
      </c>
      <c r="L17" s="279">
        <f t="shared" si="3"/>
        <v>1210</v>
      </c>
      <c r="M17" s="279">
        <f t="shared" si="4"/>
        <v>1331</v>
      </c>
      <c r="N17" s="279">
        <f t="shared" si="5"/>
        <v>1331</v>
      </c>
      <c r="O17" s="279">
        <f t="shared" ref="O17:O81" si="10">N17</f>
        <v>1331</v>
      </c>
      <c r="P17" s="279">
        <f t="shared" si="0"/>
        <v>1331</v>
      </c>
      <c r="Q17" s="1206">
        <f t="shared" si="0"/>
        <v>1331</v>
      </c>
      <c r="R17" s="163"/>
      <c r="S17" s="333"/>
      <c r="T17" s="496"/>
    </row>
    <row r="18" spans="1:20" ht="18">
      <c r="A18" s="507" t="s">
        <v>2121</v>
      </c>
      <c r="B18" s="488" t="s">
        <v>204</v>
      </c>
      <c r="C18" s="37" t="s">
        <v>88</v>
      </c>
      <c r="D18" s="38">
        <v>1000</v>
      </c>
      <c r="E18" s="143">
        <v>1200</v>
      </c>
      <c r="F18" s="143">
        <v>1200</v>
      </c>
      <c r="G18" s="143">
        <v>1000</v>
      </c>
      <c r="H18" s="143">
        <v>1365</v>
      </c>
      <c r="I18" s="279">
        <v>1430</v>
      </c>
      <c r="J18" s="279">
        <f t="shared" si="9"/>
        <v>1430</v>
      </c>
      <c r="K18" s="279">
        <f t="shared" si="2"/>
        <v>1430</v>
      </c>
      <c r="L18" s="279">
        <f t="shared" si="3"/>
        <v>1430</v>
      </c>
      <c r="M18" s="279">
        <f t="shared" si="4"/>
        <v>1573.0000000000002</v>
      </c>
      <c r="N18" s="279">
        <f t="shared" si="5"/>
        <v>1573.0000000000002</v>
      </c>
      <c r="O18" s="279">
        <f t="shared" si="10"/>
        <v>1573.0000000000002</v>
      </c>
      <c r="P18" s="279">
        <f t="shared" si="0"/>
        <v>1573.0000000000002</v>
      </c>
      <c r="Q18" s="1206">
        <f t="shared" si="0"/>
        <v>1573.0000000000002</v>
      </c>
      <c r="R18" s="163"/>
      <c r="S18" s="333"/>
      <c r="T18" s="496"/>
    </row>
    <row r="19" spans="1:20" ht="18">
      <c r="A19" s="508">
        <v>1.6</v>
      </c>
      <c r="B19" s="489" t="s">
        <v>205</v>
      </c>
      <c r="C19" s="466"/>
      <c r="D19" s="461"/>
      <c r="E19" s="456"/>
      <c r="F19" s="456"/>
      <c r="G19" s="456"/>
      <c r="H19" s="456"/>
      <c r="I19" s="456"/>
      <c r="J19" s="456"/>
      <c r="K19" s="456"/>
      <c r="L19" s="456"/>
      <c r="M19" s="456"/>
      <c r="N19" s="456"/>
      <c r="O19" s="456"/>
      <c r="P19" s="456"/>
      <c r="Q19" s="1205"/>
      <c r="R19" s="510"/>
      <c r="S19" s="333"/>
      <c r="T19" s="496"/>
    </row>
    <row r="20" spans="1:20" ht="18">
      <c r="A20" s="507" t="s">
        <v>2122</v>
      </c>
      <c r="B20" s="67" t="s">
        <v>206</v>
      </c>
      <c r="C20" s="37" t="s">
        <v>88</v>
      </c>
      <c r="D20" s="38"/>
      <c r="E20" s="143">
        <v>1200</v>
      </c>
      <c r="F20" s="143">
        <v>1200</v>
      </c>
      <c r="G20" s="143">
        <v>1150</v>
      </c>
      <c r="H20" s="143">
        <v>2415</v>
      </c>
      <c r="I20" s="279">
        <v>2535</v>
      </c>
      <c r="J20" s="279">
        <f>I20</f>
        <v>2535</v>
      </c>
      <c r="K20" s="279">
        <f t="shared" si="2"/>
        <v>2535</v>
      </c>
      <c r="L20" s="279">
        <f t="shared" si="3"/>
        <v>2535</v>
      </c>
      <c r="M20" s="279">
        <f t="shared" si="4"/>
        <v>2788.5</v>
      </c>
      <c r="N20" s="279">
        <f t="shared" si="5"/>
        <v>2788.5</v>
      </c>
      <c r="O20" s="279">
        <f t="shared" si="10"/>
        <v>2788.5</v>
      </c>
      <c r="P20" s="279">
        <f t="shared" si="0"/>
        <v>2788.5</v>
      </c>
      <c r="Q20" s="1206">
        <f t="shared" si="0"/>
        <v>2788.5</v>
      </c>
      <c r="R20" s="163"/>
      <c r="S20" s="333"/>
      <c r="T20" s="496"/>
    </row>
    <row r="21" spans="1:20" ht="18">
      <c r="A21" s="507" t="s">
        <v>2123</v>
      </c>
      <c r="B21" s="67" t="s">
        <v>207</v>
      </c>
      <c r="C21" s="37" t="s">
        <v>88</v>
      </c>
      <c r="D21" s="38"/>
      <c r="E21" s="143">
        <v>2000</v>
      </c>
      <c r="F21" s="143">
        <v>2000</v>
      </c>
      <c r="G21" s="143">
        <v>1800</v>
      </c>
      <c r="H21" s="143">
        <v>4200</v>
      </c>
      <c r="I21" s="279">
        <v>4410</v>
      </c>
      <c r="J21" s="279">
        <f t="shared" ref="J21:J24" si="11">I21</f>
        <v>4410</v>
      </c>
      <c r="K21" s="279">
        <f t="shared" si="2"/>
        <v>4410</v>
      </c>
      <c r="L21" s="279">
        <f t="shared" si="3"/>
        <v>4410</v>
      </c>
      <c r="M21" s="279">
        <f t="shared" si="4"/>
        <v>4851</v>
      </c>
      <c r="N21" s="279">
        <f t="shared" si="5"/>
        <v>4851</v>
      </c>
      <c r="O21" s="279">
        <f t="shared" si="10"/>
        <v>4851</v>
      </c>
      <c r="P21" s="279">
        <f t="shared" si="0"/>
        <v>4851</v>
      </c>
      <c r="Q21" s="1206">
        <f t="shared" si="0"/>
        <v>4851</v>
      </c>
      <c r="R21" s="163"/>
      <c r="S21" s="333"/>
      <c r="T21" s="496"/>
    </row>
    <row r="22" spans="1:20" ht="18">
      <c r="A22" s="508">
        <v>1.7</v>
      </c>
      <c r="B22" s="67" t="s">
        <v>208</v>
      </c>
      <c r="C22" s="37" t="s">
        <v>88</v>
      </c>
      <c r="D22" s="38">
        <v>2600</v>
      </c>
      <c r="E22" s="143">
        <v>2000</v>
      </c>
      <c r="F22" s="143">
        <v>2000</v>
      </c>
      <c r="G22" s="143">
        <v>2000</v>
      </c>
      <c r="H22" s="143">
        <v>2730</v>
      </c>
      <c r="I22" s="279">
        <v>2865</v>
      </c>
      <c r="J22" s="279">
        <f t="shared" si="11"/>
        <v>2865</v>
      </c>
      <c r="K22" s="279">
        <f t="shared" si="2"/>
        <v>2865</v>
      </c>
      <c r="L22" s="279">
        <f t="shared" si="3"/>
        <v>2865</v>
      </c>
      <c r="M22" s="279">
        <f t="shared" si="4"/>
        <v>3151.5000000000005</v>
      </c>
      <c r="N22" s="279">
        <f t="shared" si="5"/>
        <v>3151.5000000000005</v>
      </c>
      <c r="O22" s="279">
        <f t="shared" si="10"/>
        <v>3151.5000000000005</v>
      </c>
      <c r="P22" s="279">
        <f t="shared" si="0"/>
        <v>3151.5000000000005</v>
      </c>
      <c r="Q22" s="1206">
        <f t="shared" si="0"/>
        <v>3151.5000000000005</v>
      </c>
      <c r="R22" s="163"/>
      <c r="S22" s="333"/>
      <c r="T22" s="496"/>
    </row>
    <row r="23" spans="1:20" ht="18">
      <c r="A23" s="508">
        <v>1.8</v>
      </c>
      <c r="B23" s="45" t="s">
        <v>209</v>
      </c>
      <c r="C23" s="37" t="s">
        <v>88</v>
      </c>
      <c r="D23" s="38">
        <v>140</v>
      </c>
      <c r="E23" s="143">
        <v>190</v>
      </c>
      <c r="F23" s="143">
        <v>190</v>
      </c>
      <c r="G23" s="143">
        <v>200</v>
      </c>
      <c r="H23" s="143">
        <v>32000</v>
      </c>
      <c r="I23" s="279">
        <v>33600</v>
      </c>
      <c r="J23" s="279">
        <f t="shared" si="11"/>
        <v>33600</v>
      </c>
      <c r="K23" s="279">
        <f t="shared" si="2"/>
        <v>33600</v>
      </c>
      <c r="L23" s="279">
        <f t="shared" si="3"/>
        <v>33600</v>
      </c>
      <c r="M23" s="279">
        <f t="shared" si="4"/>
        <v>36960</v>
      </c>
      <c r="N23" s="279">
        <f t="shared" si="5"/>
        <v>36960</v>
      </c>
      <c r="O23" s="279">
        <f t="shared" si="10"/>
        <v>36960</v>
      </c>
      <c r="P23" s="279">
        <f t="shared" si="0"/>
        <v>36960</v>
      </c>
      <c r="Q23" s="1206">
        <f t="shared" si="0"/>
        <v>36960</v>
      </c>
      <c r="R23" s="163"/>
      <c r="S23" s="333"/>
      <c r="T23" s="496"/>
    </row>
    <row r="24" spans="1:20" ht="18">
      <c r="A24" s="508">
        <v>1.9</v>
      </c>
      <c r="B24" s="67" t="s">
        <v>210</v>
      </c>
      <c r="C24" s="37" t="s">
        <v>88</v>
      </c>
      <c r="D24" s="38">
        <v>140</v>
      </c>
      <c r="E24" s="143">
        <v>190</v>
      </c>
      <c r="F24" s="143">
        <v>190</v>
      </c>
      <c r="G24" s="143">
        <v>200</v>
      </c>
      <c r="H24" s="143">
        <v>262.5</v>
      </c>
      <c r="I24" s="279">
        <v>275</v>
      </c>
      <c r="J24" s="279">
        <f t="shared" si="11"/>
        <v>275</v>
      </c>
      <c r="K24" s="279">
        <f t="shared" si="2"/>
        <v>275</v>
      </c>
      <c r="L24" s="279">
        <f t="shared" si="3"/>
        <v>275</v>
      </c>
      <c r="M24" s="279">
        <f t="shared" si="4"/>
        <v>302.5</v>
      </c>
      <c r="N24" s="279">
        <f t="shared" si="5"/>
        <v>302.5</v>
      </c>
      <c r="O24" s="279">
        <f t="shared" si="10"/>
        <v>302.5</v>
      </c>
      <c r="P24" s="279">
        <f t="shared" si="0"/>
        <v>302.5</v>
      </c>
      <c r="Q24" s="1206">
        <f t="shared" si="0"/>
        <v>302.5</v>
      </c>
      <c r="R24" s="163"/>
      <c r="S24" s="333"/>
      <c r="T24" s="496"/>
    </row>
    <row r="25" spans="1:20" ht="18">
      <c r="A25" s="511">
        <v>1.1000000000000001</v>
      </c>
      <c r="B25" s="489" t="s">
        <v>211</v>
      </c>
      <c r="C25" s="445"/>
      <c r="D25" s="389"/>
      <c r="E25" s="464"/>
      <c r="F25" s="464"/>
      <c r="G25" s="464"/>
      <c r="H25" s="464"/>
      <c r="I25" s="464"/>
      <c r="J25" s="464"/>
      <c r="K25" s="464"/>
      <c r="L25" s="464"/>
      <c r="M25" s="464"/>
      <c r="N25" s="464"/>
      <c r="O25" s="464"/>
      <c r="P25" s="464"/>
      <c r="Q25" s="1204"/>
      <c r="R25" s="509"/>
      <c r="S25" s="333"/>
      <c r="T25" s="496"/>
    </row>
    <row r="26" spans="1:20" ht="18">
      <c r="A26" s="507" t="s">
        <v>2124</v>
      </c>
      <c r="B26" s="67" t="s">
        <v>212</v>
      </c>
      <c r="C26" s="37" t="s">
        <v>88</v>
      </c>
      <c r="D26" s="38">
        <v>275</v>
      </c>
      <c r="E26" s="143">
        <v>400</v>
      </c>
      <c r="F26" s="143">
        <v>400</v>
      </c>
      <c r="G26" s="143">
        <v>375</v>
      </c>
      <c r="H26" s="143">
        <v>577.5</v>
      </c>
      <c r="I26" s="279">
        <v>605</v>
      </c>
      <c r="J26" s="279">
        <f>I26</f>
        <v>605</v>
      </c>
      <c r="K26" s="279">
        <f t="shared" si="2"/>
        <v>605</v>
      </c>
      <c r="L26" s="279">
        <f t="shared" si="3"/>
        <v>605</v>
      </c>
      <c r="M26" s="279">
        <f t="shared" si="4"/>
        <v>665.5</v>
      </c>
      <c r="N26" s="279">
        <f t="shared" si="5"/>
        <v>665.5</v>
      </c>
      <c r="O26" s="279">
        <f t="shared" si="10"/>
        <v>665.5</v>
      </c>
      <c r="P26" s="279">
        <f t="shared" si="0"/>
        <v>665.5</v>
      </c>
      <c r="Q26" s="1206">
        <f t="shared" si="0"/>
        <v>665.5</v>
      </c>
      <c r="R26" s="163"/>
      <c r="S26" s="333"/>
      <c r="T26" s="496"/>
    </row>
    <row r="27" spans="1:20" ht="18">
      <c r="A27" s="507" t="s">
        <v>2125</v>
      </c>
      <c r="B27" s="67" t="s">
        <v>213</v>
      </c>
      <c r="C27" s="37" t="s">
        <v>88</v>
      </c>
      <c r="D27" s="38">
        <v>150</v>
      </c>
      <c r="E27" s="143">
        <v>175</v>
      </c>
      <c r="F27" s="143">
        <v>175</v>
      </c>
      <c r="G27" s="143">
        <v>175</v>
      </c>
      <c r="H27" s="143">
        <v>273</v>
      </c>
      <c r="I27" s="279">
        <v>285</v>
      </c>
      <c r="J27" s="279">
        <f>I27</f>
        <v>285</v>
      </c>
      <c r="K27" s="279">
        <f t="shared" si="2"/>
        <v>285</v>
      </c>
      <c r="L27" s="279">
        <f t="shared" si="3"/>
        <v>285</v>
      </c>
      <c r="M27" s="279">
        <f t="shared" si="4"/>
        <v>313.5</v>
      </c>
      <c r="N27" s="279">
        <f t="shared" si="5"/>
        <v>313.5</v>
      </c>
      <c r="O27" s="279">
        <f t="shared" si="10"/>
        <v>313.5</v>
      </c>
      <c r="P27" s="279">
        <f t="shared" si="0"/>
        <v>313.5</v>
      </c>
      <c r="Q27" s="1206">
        <f t="shared" si="0"/>
        <v>313.5</v>
      </c>
      <c r="R27" s="163"/>
      <c r="S27" s="333"/>
      <c r="T27" s="496"/>
    </row>
    <row r="28" spans="1:20" ht="18">
      <c r="A28" s="512">
        <v>1.1100000000000001</v>
      </c>
      <c r="B28" s="489" t="s">
        <v>214</v>
      </c>
      <c r="C28" s="415"/>
      <c r="D28" s="513"/>
      <c r="E28" s="489"/>
      <c r="F28" s="489"/>
      <c r="G28" s="489"/>
      <c r="H28" s="489"/>
      <c r="I28" s="489"/>
      <c r="J28" s="489"/>
      <c r="K28" s="489"/>
      <c r="L28" s="489"/>
      <c r="M28" s="489"/>
      <c r="N28" s="489"/>
      <c r="O28" s="489"/>
      <c r="P28" s="489"/>
      <c r="Q28" s="1209"/>
      <c r="R28" s="514"/>
      <c r="S28" s="333"/>
      <c r="T28" s="496"/>
    </row>
    <row r="29" spans="1:20" ht="18">
      <c r="A29" s="507" t="s">
        <v>2126</v>
      </c>
      <c r="B29" s="67" t="s">
        <v>215</v>
      </c>
      <c r="C29" s="37" t="s">
        <v>88</v>
      </c>
      <c r="D29" s="38">
        <v>350</v>
      </c>
      <c r="E29" s="143">
        <v>450</v>
      </c>
      <c r="F29" s="143">
        <v>450</v>
      </c>
      <c r="G29" s="143">
        <v>450</v>
      </c>
      <c r="H29" s="143">
        <v>577.5</v>
      </c>
      <c r="I29" s="279">
        <v>605</v>
      </c>
      <c r="J29" s="279">
        <f>I29</f>
        <v>605</v>
      </c>
      <c r="K29" s="279">
        <f t="shared" si="2"/>
        <v>605</v>
      </c>
      <c r="L29" s="279">
        <f t="shared" si="3"/>
        <v>605</v>
      </c>
      <c r="M29" s="279">
        <f t="shared" si="4"/>
        <v>665.5</v>
      </c>
      <c r="N29" s="279">
        <f t="shared" si="5"/>
        <v>665.5</v>
      </c>
      <c r="O29" s="279">
        <f t="shared" si="10"/>
        <v>665.5</v>
      </c>
      <c r="P29" s="279">
        <f t="shared" si="0"/>
        <v>665.5</v>
      </c>
      <c r="Q29" s="1206">
        <f t="shared" si="0"/>
        <v>665.5</v>
      </c>
      <c r="R29" s="163"/>
      <c r="S29" s="333"/>
      <c r="T29" s="496"/>
    </row>
    <row r="30" spans="1:20" ht="18">
      <c r="A30" s="507" t="s">
        <v>2127</v>
      </c>
      <c r="B30" s="67" t="s">
        <v>216</v>
      </c>
      <c r="C30" s="37" t="s">
        <v>88</v>
      </c>
      <c r="D30" s="38">
        <v>275</v>
      </c>
      <c r="E30" s="143">
        <v>400</v>
      </c>
      <c r="F30" s="143">
        <v>400</v>
      </c>
      <c r="G30" s="143">
        <v>400</v>
      </c>
      <c r="H30" s="143">
        <v>498.75</v>
      </c>
      <c r="I30" s="279">
        <v>525</v>
      </c>
      <c r="J30" s="279">
        <f t="shared" ref="J30:J31" si="12">I30</f>
        <v>525</v>
      </c>
      <c r="K30" s="279">
        <f t="shared" si="2"/>
        <v>525</v>
      </c>
      <c r="L30" s="279">
        <f t="shared" si="3"/>
        <v>525</v>
      </c>
      <c r="M30" s="279">
        <f t="shared" si="4"/>
        <v>577.5</v>
      </c>
      <c r="N30" s="279">
        <f t="shared" si="5"/>
        <v>577.5</v>
      </c>
      <c r="O30" s="279">
        <f t="shared" si="10"/>
        <v>577.5</v>
      </c>
      <c r="P30" s="279">
        <f t="shared" si="0"/>
        <v>577.5</v>
      </c>
      <c r="Q30" s="1206">
        <f t="shared" si="0"/>
        <v>577.5</v>
      </c>
      <c r="R30" s="163"/>
      <c r="S30" s="333"/>
      <c r="T30" s="496"/>
    </row>
    <row r="31" spans="1:20" ht="18">
      <c r="A31" s="512">
        <v>1.1200000000000001</v>
      </c>
      <c r="B31" s="67" t="s">
        <v>217</v>
      </c>
      <c r="C31" s="37" t="s">
        <v>88</v>
      </c>
      <c r="D31" s="38">
        <v>160</v>
      </c>
      <c r="E31" s="143">
        <v>200</v>
      </c>
      <c r="F31" s="143">
        <v>200</v>
      </c>
      <c r="G31" s="143">
        <v>200</v>
      </c>
      <c r="H31" s="143">
        <v>262.5</v>
      </c>
      <c r="I31" s="279">
        <v>275</v>
      </c>
      <c r="J31" s="279">
        <f t="shared" si="12"/>
        <v>275</v>
      </c>
      <c r="K31" s="279">
        <f t="shared" si="2"/>
        <v>275</v>
      </c>
      <c r="L31" s="279">
        <f t="shared" si="3"/>
        <v>275</v>
      </c>
      <c r="M31" s="279">
        <f t="shared" si="4"/>
        <v>302.5</v>
      </c>
      <c r="N31" s="279">
        <f t="shared" si="5"/>
        <v>302.5</v>
      </c>
      <c r="O31" s="279">
        <f t="shared" si="10"/>
        <v>302.5</v>
      </c>
      <c r="P31" s="279">
        <f t="shared" si="0"/>
        <v>302.5</v>
      </c>
      <c r="Q31" s="1206">
        <f t="shared" si="0"/>
        <v>302.5</v>
      </c>
      <c r="R31" s="163"/>
      <c r="S31" s="333"/>
      <c r="T31" s="496"/>
    </row>
    <row r="32" spans="1:20" ht="18">
      <c r="A32" s="512">
        <v>1.1299999999999999</v>
      </c>
      <c r="B32" s="489" t="s">
        <v>218</v>
      </c>
      <c r="C32" s="466"/>
      <c r="D32" s="461"/>
      <c r="E32" s="456"/>
      <c r="F32" s="456"/>
      <c r="G32" s="456"/>
      <c r="H32" s="456"/>
      <c r="I32" s="456"/>
      <c r="J32" s="456"/>
      <c r="K32" s="456"/>
      <c r="L32" s="456"/>
      <c r="M32" s="456"/>
      <c r="N32" s="456"/>
      <c r="O32" s="456"/>
      <c r="P32" s="456"/>
      <c r="Q32" s="1205"/>
      <c r="R32" s="510"/>
      <c r="S32" s="333"/>
      <c r="T32" s="496"/>
    </row>
    <row r="33" spans="1:20" ht="18">
      <c r="A33" s="507" t="s">
        <v>2128</v>
      </c>
      <c r="B33" s="67" t="s">
        <v>219</v>
      </c>
      <c r="C33" s="37" t="s">
        <v>88</v>
      </c>
      <c r="D33" s="38">
        <v>180</v>
      </c>
      <c r="E33" s="143">
        <v>210</v>
      </c>
      <c r="F33" s="143">
        <v>210</v>
      </c>
      <c r="G33" s="143">
        <v>210</v>
      </c>
      <c r="H33" s="143">
        <v>262.5</v>
      </c>
      <c r="I33" s="279">
        <v>275</v>
      </c>
      <c r="J33" s="279">
        <f>I33</f>
        <v>275</v>
      </c>
      <c r="K33" s="279">
        <f t="shared" si="2"/>
        <v>275</v>
      </c>
      <c r="L33" s="279">
        <f t="shared" si="3"/>
        <v>275</v>
      </c>
      <c r="M33" s="279">
        <f t="shared" si="4"/>
        <v>302.5</v>
      </c>
      <c r="N33" s="279">
        <f t="shared" si="5"/>
        <v>302.5</v>
      </c>
      <c r="O33" s="279">
        <f t="shared" si="10"/>
        <v>302.5</v>
      </c>
      <c r="P33" s="279">
        <f t="shared" si="0"/>
        <v>302.5</v>
      </c>
      <c r="Q33" s="1206">
        <f t="shared" si="0"/>
        <v>302.5</v>
      </c>
      <c r="R33" s="163"/>
      <c r="S33" s="333"/>
      <c r="T33" s="496"/>
    </row>
    <row r="34" spans="1:20" ht="18">
      <c r="A34" s="507" t="s">
        <v>2129</v>
      </c>
      <c r="B34" s="67" t="s">
        <v>220</v>
      </c>
      <c r="C34" s="37" t="s">
        <v>88</v>
      </c>
      <c r="D34" s="38">
        <v>35</v>
      </c>
      <c r="E34" s="143">
        <v>60</v>
      </c>
      <c r="F34" s="143">
        <v>60</v>
      </c>
      <c r="G34" s="143">
        <v>50</v>
      </c>
      <c r="H34" s="143">
        <v>78.75</v>
      </c>
      <c r="I34" s="279">
        <v>85</v>
      </c>
      <c r="J34" s="279">
        <f t="shared" ref="J34:J36" si="13">I34</f>
        <v>85</v>
      </c>
      <c r="K34" s="279">
        <f t="shared" si="2"/>
        <v>85</v>
      </c>
      <c r="L34" s="279">
        <f t="shared" si="3"/>
        <v>85</v>
      </c>
      <c r="M34" s="279">
        <f t="shared" si="4"/>
        <v>93.500000000000014</v>
      </c>
      <c r="N34" s="279">
        <f t="shared" si="5"/>
        <v>93.500000000000014</v>
      </c>
      <c r="O34" s="279">
        <f t="shared" si="10"/>
        <v>93.500000000000014</v>
      </c>
      <c r="P34" s="279">
        <f t="shared" si="0"/>
        <v>93.500000000000014</v>
      </c>
      <c r="Q34" s="1206">
        <f t="shared" si="0"/>
        <v>93.500000000000014</v>
      </c>
      <c r="R34" s="163"/>
      <c r="S34" s="333"/>
      <c r="T34" s="496"/>
    </row>
    <row r="35" spans="1:20" ht="18">
      <c r="A35" s="507" t="s">
        <v>2130</v>
      </c>
      <c r="B35" s="67" t="s">
        <v>221</v>
      </c>
      <c r="C35" s="37" t="s">
        <v>88</v>
      </c>
      <c r="D35" s="38">
        <v>185</v>
      </c>
      <c r="E35" s="143">
        <v>250</v>
      </c>
      <c r="F35" s="143">
        <v>250</v>
      </c>
      <c r="G35" s="143">
        <v>250</v>
      </c>
      <c r="H35" s="143">
        <v>472.5</v>
      </c>
      <c r="I35" s="279">
        <v>495</v>
      </c>
      <c r="J35" s="279">
        <f t="shared" si="13"/>
        <v>495</v>
      </c>
      <c r="K35" s="279">
        <f t="shared" si="2"/>
        <v>495</v>
      </c>
      <c r="L35" s="279">
        <f t="shared" si="3"/>
        <v>495</v>
      </c>
      <c r="M35" s="279">
        <f t="shared" si="4"/>
        <v>544.5</v>
      </c>
      <c r="N35" s="279">
        <f t="shared" si="5"/>
        <v>544.5</v>
      </c>
      <c r="O35" s="279">
        <f t="shared" si="10"/>
        <v>544.5</v>
      </c>
      <c r="P35" s="279">
        <f t="shared" si="0"/>
        <v>544.5</v>
      </c>
      <c r="Q35" s="1206">
        <f t="shared" si="0"/>
        <v>544.5</v>
      </c>
      <c r="R35" s="163"/>
      <c r="S35" s="333"/>
      <c r="T35" s="496"/>
    </row>
    <row r="36" spans="1:20" ht="18">
      <c r="A36" s="507" t="s">
        <v>2131</v>
      </c>
      <c r="B36" s="67" t="s">
        <v>222</v>
      </c>
      <c r="C36" s="37" t="s">
        <v>88</v>
      </c>
      <c r="D36" s="38">
        <v>400</v>
      </c>
      <c r="E36" s="143">
        <v>700</v>
      </c>
      <c r="F36" s="143">
        <v>700</v>
      </c>
      <c r="G36" s="143">
        <v>700</v>
      </c>
      <c r="H36" s="143">
        <v>892.5</v>
      </c>
      <c r="I36" s="279">
        <v>935</v>
      </c>
      <c r="J36" s="279">
        <f t="shared" si="13"/>
        <v>935</v>
      </c>
      <c r="K36" s="279">
        <f t="shared" si="2"/>
        <v>935</v>
      </c>
      <c r="L36" s="279">
        <f t="shared" si="3"/>
        <v>935</v>
      </c>
      <c r="M36" s="279">
        <f t="shared" si="4"/>
        <v>1028.5</v>
      </c>
      <c r="N36" s="279">
        <f t="shared" si="5"/>
        <v>1028.5</v>
      </c>
      <c r="O36" s="279">
        <f t="shared" si="10"/>
        <v>1028.5</v>
      </c>
      <c r="P36" s="279">
        <f t="shared" si="0"/>
        <v>1028.5</v>
      </c>
      <c r="Q36" s="1206">
        <f t="shared" si="0"/>
        <v>1028.5</v>
      </c>
      <c r="R36" s="163"/>
      <c r="S36" s="333"/>
      <c r="T36" s="496"/>
    </row>
    <row r="37" spans="1:20" s="242" customFormat="1" ht="18">
      <c r="A37" s="512">
        <v>1.1399999999999999</v>
      </c>
      <c r="B37" s="489" t="s">
        <v>223</v>
      </c>
      <c r="C37" s="466"/>
      <c r="D37" s="461"/>
      <c r="E37" s="456"/>
      <c r="F37" s="456"/>
      <c r="G37" s="456"/>
      <c r="H37" s="456"/>
      <c r="I37" s="456"/>
      <c r="J37" s="456"/>
      <c r="K37" s="456"/>
      <c r="L37" s="456"/>
      <c r="M37" s="456"/>
      <c r="N37" s="456"/>
      <c r="O37" s="456"/>
      <c r="P37" s="456"/>
      <c r="Q37" s="1205"/>
      <c r="R37" s="510"/>
      <c r="S37" s="515"/>
      <c r="T37" s="516"/>
    </row>
    <row r="38" spans="1:20" ht="18">
      <c r="A38" s="507" t="s">
        <v>2132</v>
      </c>
      <c r="B38" s="67" t="s">
        <v>224</v>
      </c>
      <c r="C38" s="37" t="s">
        <v>88</v>
      </c>
      <c r="D38" s="38">
        <v>185</v>
      </c>
      <c r="E38" s="143">
        <v>250</v>
      </c>
      <c r="F38" s="143">
        <v>275</v>
      </c>
      <c r="G38" s="143">
        <v>275</v>
      </c>
      <c r="H38" s="143">
        <v>630</v>
      </c>
      <c r="I38" s="279">
        <v>660</v>
      </c>
      <c r="J38" s="279">
        <f>I38</f>
        <v>660</v>
      </c>
      <c r="K38" s="279">
        <f t="shared" si="2"/>
        <v>660</v>
      </c>
      <c r="L38" s="279">
        <f t="shared" si="3"/>
        <v>660</v>
      </c>
      <c r="M38" s="279">
        <f t="shared" si="4"/>
        <v>726.00000000000011</v>
      </c>
      <c r="N38" s="279">
        <f t="shared" si="5"/>
        <v>726.00000000000011</v>
      </c>
      <c r="O38" s="279">
        <f t="shared" si="10"/>
        <v>726.00000000000011</v>
      </c>
      <c r="P38" s="279">
        <f t="shared" si="0"/>
        <v>726.00000000000011</v>
      </c>
      <c r="Q38" s="1206">
        <f t="shared" si="0"/>
        <v>726.00000000000011</v>
      </c>
      <c r="R38" s="163"/>
      <c r="S38" s="333"/>
      <c r="T38" s="496"/>
    </row>
    <row r="39" spans="1:20" ht="18">
      <c r="A39" s="507" t="s">
        <v>2133</v>
      </c>
      <c r="B39" s="67" t="s">
        <v>225</v>
      </c>
      <c r="C39" s="37" t="s">
        <v>88</v>
      </c>
      <c r="D39" s="38">
        <v>500</v>
      </c>
      <c r="E39" s="143">
        <v>700</v>
      </c>
      <c r="F39" s="143">
        <v>800</v>
      </c>
      <c r="G39" s="143">
        <v>800</v>
      </c>
      <c r="H39" s="143">
        <v>945</v>
      </c>
      <c r="I39" s="279">
        <v>990</v>
      </c>
      <c r="J39" s="279">
        <f t="shared" ref="J39:J40" si="14">I39</f>
        <v>990</v>
      </c>
      <c r="K39" s="279">
        <f t="shared" si="2"/>
        <v>990</v>
      </c>
      <c r="L39" s="279">
        <f t="shared" si="3"/>
        <v>990</v>
      </c>
      <c r="M39" s="279">
        <f t="shared" si="4"/>
        <v>1089</v>
      </c>
      <c r="N39" s="279">
        <f t="shared" si="5"/>
        <v>1089</v>
      </c>
      <c r="O39" s="279">
        <f t="shared" si="10"/>
        <v>1089</v>
      </c>
      <c r="P39" s="279">
        <f t="shared" si="0"/>
        <v>1089</v>
      </c>
      <c r="Q39" s="1206">
        <f t="shared" si="0"/>
        <v>1089</v>
      </c>
      <c r="R39" s="163"/>
      <c r="S39" s="333"/>
      <c r="T39" s="496"/>
    </row>
    <row r="40" spans="1:20" s="242" customFormat="1" ht="18">
      <c r="A40" s="512">
        <v>1.1499999999999999</v>
      </c>
      <c r="B40" s="489" t="s">
        <v>226</v>
      </c>
      <c r="C40" s="466" t="s">
        <v>88</v>
      </c>
      <c r="D40" s="461">
        <v>225</v>
      </c>
      <c r="E40" s="456">
        <v>375</v>
      </c>
      <c r="F40" s="456">
        <v>375</v>
      </c>
      <c r="G40" s="456">
        <v>375</v>
      </c>
      <c r="H40" s="456">
        <v>630</v>
      </c>
      <c r="I40" s="456">
        <v>660</v>
      </c>
      <c r="J40" s="456">
        <f t="shared" si="14"/>
        <v>660</v>
      </c>
      <c r="K40" s="456">
        <f t="shared" si="2"/>
        <v>660</v>
      </c>
      <c r="L40" s="456">
        <f t="shared" si="3"/>
        <v>660</v>
      </c>
      <c r="M40" s="456">
        <f t="shared" si="4"/>
        <v>726.00000000000011</v>
      </c>
      <c r="N40" s="456">
        <f t="shared" si="5"/>
        <v>726.00000000000011</v>
      </c>
      <c r="O40" s="456">
        <f t="shared" si="10"/>
        <v>726.00000000000011</v>
      </c>
      <c r="P40" s="456">
        <f t="shared" si="0"/>
        <v>726.00000000000011</v>
      </c>
      <c r="Q40" s="456">
        <f t="shared" si="0"/>
        <v>726.00000000000011</v>
      </c>
      <c r="R40" s="510"/>
      <c r="S40" s="515"/>
      <c r="T40" s="516"/>
    </row>
    <row r="41" spans="1:20" ht="18">
      <c r="A41" s="512">
        <v>1.1599999999999999</v>
      </c>
      <c r="B41" s="489" t="s">
        <v>227</v>
      </c>
      <c r="C41" s="445"/>
      <c r="D41" s="389"/>
      <c r="E41" s="464"/>
      <c r="F41" s="464"/>
      <c r="G41" s="464"/>
      <c r="H41" s="464"/>
      <c r="I41" s="464"/>
      <c r="J41" s="464"/>
      <c r="K41" s="464"/>
      <c r="L41" s="464"/>
      <c r="M41" s="464"/>
      <c r="N41" s="464"/>
      <c r="O41" s="464"/>
      <c r="P41" s="464"/>
      <c r="Q41" s="1204"/>
      <c r="R41" s="509"/>
      <c r="S41" s="333"/>
      <c r="T41" s="496"/>
    </row>
    <row r="42" spans="1:20" ht="18">
      <c r="A42" s="507" t="s">
        <v>2134</v>
      </c>
      <c r="B42" s="67" t="s">
        <v>228</v>
      </c>
      <c r="C42" s="37" t="s">
        <v>88</v>
      </c>
      <c r="D42" s="38">
        <v>775</v>
      </c>
      <c r="E42" s="143">
        <v>950</v>
      </c>
      <c r="F42" s="143">
        <v>950</v>
      </c>
      <c r="G42" s="143">
        <v>950</v>
      </c>
      <c r="H42" s="143">
        <v>1312.5</v>
      </c>
      <c r="I42" s="279">
        <v>1380</v>
      </c>
      <c r="J42" s="279">
        <f>I42</f>
        <v>1380</v>
      </c>
      <c r="K42" s="279">
        <f t="shared" si="2"/>
        <v>1380</v>
      </c>
      <c r="L42" s="279">
        <f t="shared" si="3"/>
        <v>1380</v>
      </c>
      <c r="M42" s="279">
        <f t="shared" si="4"/>
        <v>1518.0000000000002</v>
      </c>
      <c r="N42" s="279">
        <f t="shared" si="5"/>
        <v>1518.0000000000002</v>
      </c>
      <c r="O42" s="279">
        <f t="shared" si="10"/>
        <v>1518.0000000000002</v>
      </c>
      <c r="P42" s="279">
        <f t="shared" si="0"/>
        <v>1518.0000000000002</v>
      </c>
      <c r="Q42" s="1206">
        <f t="shared" si="0"/>
        <v>1518.0000000000002</v>
      </c>
      <c r="R42" s="163"/>
      <c r="S42" s="333"/>
      <c r="T42" s="496"/>
    </row>
    <row r="43" spans="1:20" ht="18">
      <c r="A43" s="507" t="s">
        <v>2135</v>
      </c>
      <c r="B43" s="67" t="s">
        <v>229</v>
      </c>
      <c r="C43" s="37" t="s">
        <v>88</v>
      </c>
      <c r="D43" s="38">
        <v>600</v>
      </c>
      <c r="E43" s="143">
        <v>900</v>
      </c>
      <c r="F43" s="143">
        <v>900</v>
      </c>
      <c r="G43" s="143">
        <v>900</v>
      </c>
      <c r="H43" s="143">
        <v>1312.5</v>
      </c>
      <c r="I43" s="279">
        <v>1380</v>
      </c>
      <c r="J43" s="279">
        <f t="shared" ref="J43:J49" si="15">I43</f>
        <v>1380</v>
      </c>
      <c r="K43" s="279">
        <f t="shared" si="2"/>
        <v>1380</v>
      </c>
      <c r="L43" s="279">
        <f t="shared" si="3"/>
        <v>1380</v>
      </c>
      <c r="M43" s="279">
        <f t="shared" si="4"/>
        <v>1518.0000000000002</v>
      </c>
      <c r="N43" s="279">
        <f t="shared" si="5"/>
        <v>1518.0000000000002</v>
      </c>
      <c r="O43" s="279">
        <f t="shared" si="10"/>
        <v>1518.0000000000002</v>
      </c>
      <c r="P43" s="279">
        <f t="shared" si="0"/>
        <v>1518.0000000000002</v>
      </c>
      <c r="Q43" s="1206">
        <f t="shared" si="0"/>
        <v>1518.0000000000002</v>
      </c>
      <c r="R43" s="163"/>
      <c r="S43" s="333"/>
      <c r="T43" s="496"/>
    </row>
    <row r="44" spans="1:20" ht="18">
      <c r="A44" s="512">
        <v>1.17</v>
      </c>
      <c r="B44" s="67" t="s">
        <v>230</v>
      </c>
      <c r="C44" s="37" t="s">
        <v>88</v>
      </c>
      <c r="D44" s="38">
        <v>150</v>
      </c>
      <c r="E44" s="143">
        <v>250</v>
      </c>
      <c r="F44" s="143">
        <v>250</v>
      </c>
      <c r="G44" s="143">
        <v>250</v>
      </c>
      <c r="H44" s="143">
        <v>420</v>
      </c>
      <c r="I44" s="279">
        <v>440</v>
      </c>
      <c r="J44" s="279">
        <f t="shared" si="15"/>
        <v>440</v>
      </c>
      <c r="K44" s="279">
        <f t="shared" si="2"/>
        <v>440</v>
      </c>
      <c r="L44" s="279">
        <f t="shared" si="3"/>
        <v>440</v>
      </c>
      <c r="M44" s="279">
        <f t="shared" si="4"/>
        <v>484.00000000000006</v>
      </c>
      <c r="N44" s="279">
        <f t="shared" si="5"/>
        <v>484.00000000000006</v>
      </c>
      <c r="O44" s="279">
        <f t="shared" si="10"/>
        <v>484.00000000000006</v>
      </c>
      <c r="P44" s="279">
        <f t="shared" si="0"/>
        <v>484.00000000000006</v>
      </c>
      <c r="Q44" s="1206">
        <f t="shared" si="0"/>
        <v>484.00000000000006</v>
      </c>
      <c r="R44" s="163"/>
      <c r="S44" s="333"/>
      <c r="T44" s="496"/>
    </row>
    <row r="45" spans="1:20" ht="18">
      <c r="A45" s="512">
        <v>1.18</v>
      </c>
      <c r="B45" s="67" t="s">
        <v>231</v>
      </c>
      <c r="C45" s="37" t="s">
        <v>88</v>
      </c>
      <c r="D45" s="38">
        <v>95</v>
      </c>
      <c r="E45" s="143">
        <v>130</v>
      </c>
      <c r="F45" s="143">
        <v>130</v>
      </c>
      <c r="G45" s="143">
        <v>130</v>
      </c>
      <c r="H45" s="143">
        <v>231</v>
      </c>
      <c r="I45" s="279">
        <v>240</v>
      </c>
      <c r="J45" s="279">
        <f t="shared" si="15"/>
        <v>240</v>
      </c>
      <c r="K45" s="279">
        <f t="shared" si="2"/>
        <v>240</v>
      </c>
      <c r="L45" s="279">
        <f t="shared" si="3"/>
        <v>240</v>
      </c>
      <c r="M45" s="279">
        <f t="shared" si="4"/>
        <v>264</v>
      </c>
      <c r="N45" s="279">
        <f t="shared" si="5"/>
        <v>264</v>
      </c>
      <c r="O45" s="279">
        <f t="shared" si="10"/>
        <v>264</v>
      </c>
      <c r="P45" s="279">
        <f t="shared" si="0"/>
        <v>264</v>
      </c>
      <c r="Q45" s="1206">
        <f t="shared" si="0"/>
        <v>264</v>
      </c>
      <c r="R45" s="163"/>
      <c r="S45" s="333"/>
      <c r="T45" s="496"/>
    </row>
    <row r="46" spans="1:20" ht="18">
      <c r="A46" s="512">
        <v>1.19</v>
      </c>
      <c r="B46" s="67" t="s">
        <v>232</v>
      </c>
      <c r="C46" s="37" t="s">
        <v>88</v>
      </c>
      <c r="D46" s="38">
        <v>250</v>
      </c>
      <c r="E46" s="143">
        <v>175</v>
      </c>
      <c r="F46" s="143">
        <v>200</v>
      </c>
      <c r="G46" s="143">
        <v>200</v>
      </c>
      <c r="H46" s="143">
        <v>325.5</v>
      </c>
      <c r="I46" s="279">
        <v>340</v>
      </c>
      <c r="J46" s="279">
        <f t="shared" si="15"/>
        <v>340</v>
      </c>
      <c r="K46" s="279">
        <f t="shared" si="2"/>
        <v>340</v>
      </c>
      <c r="L46" s="279">
        <f t="shared" si="3"/>
        <v>340</v>
      </c>
      <c r="M46" s="279">
        <f t="shared" si="4"/>
        <v>374.00000000000006</v>
      </c>
      <c r="N46" s="279">
        <f t="shared" si="5"/>
        <v>374.00000000000006</v>
      </c>
      <c r="O46" s="279">
        <f t="shared" si="10"/>
        <v>374.00000000000006</v>
      </c>
      <c r="P46" s="279">
        <f t="shared" si="0"/>
        <v>374.00000000000006</v>
      </c>
      <c r="Q46" s="1206">
        <f t="shared" si="0"/>
        <v>374.00000000000006</v>
      </c>
      <c r="R46" s="163"/>
      <c r="S46" s="333"/>
      <c r="T46" s="496"/>
    </row>
    <row r="47" spans="1:20" ht="18">
      <c r="A47" s="512">
        <v>1.2</v>
      </c>
      <c r="B47" s="67" t="s">
        <v>233</v>
      </c>
      <c r="C47" s="37" t="s">
        <v>88</v>
      </c>
      <c r="D47" s="38">
        <v>55</v>
      </c>
      <c r="E47" s="143">
        <v>50</v>
      </c>
      <c r="F47" s="143">
        <v>50</v>
      </c>
      <c r="G47" s="143">
        <v>50</v>
      </c>
      <c r="H47" s="143">
        <v>65.100000000000009</v>
      </c>
      <c r="I47" s="279">
        <v>68</v>
      </c>
      <c r="J47" s="279">
        <f t="shared" si="15"/>
        <v>68</v>
      </c>
      <c r="K47" s="279">
        <f t="shared" si="2"/>
        <v>68</v>
      </c>
      <c r="L47" s="279">
        <f t="shared" si="3"/>
        <v>68</v>
      </c>
      <c r="M47" s="279">
        <f t="shared" si="4"/>
        <v>74.800000000000011</v>
      </c>
      <c r="N47" s="279">
        <f t="shared" si="5"/>
        <v>74.800000000000011</v>
      </c>
      <c r="O47" s="279">
        <f t="shared" si="10"/>
        <v>74.800000000000011</v>
      </c>
      <c r="P47" s="279">
        <f t="shared" si="0"/>
        <v>74.800000000000011</v>
      </c>
      <c r="Q47" s="1206">
        <f t="shared" si="0"/>
        <v>74.800000000000011</v>
      </c>
      <c r="R47" s="163"/>
      <c r="S47" s="333"/>
      <c r="T47" s="496"/>
    </row>
    <row r="48" spans="1:20" ht="19.5">
      <c r="A48" s="512">
        <v>1.21</v>
      </c>
      <c r="B48" s="72" t="s">
        <v>234</v>
      </c>
      <c r="C48" s="340" t="s">
        <v>2136</v>
      </c>
      <c r="D48" s="38">
        <v>2500</v>
      </c>
      <c r="E48" s="143">
        <v>3200</v>
      </c>
      <c r="F48" s="143">
        <v>3200</v>
      </c>
      <c r="G48" s="143">
        <v>3200</v>
      </c>
      <c r="H48" s="143">
        <v>3517.5</v>
      </c>
      <c r="I48" s="279">
        <v>3690</v>
      </c>
      <c r="J48" s="279">
        <f t="shared" si="15"/>
        <v>3690</v>
      </c>
      <c r="K48" s="279">
        <f t="shared" si="2"/>
        <v>3690</v>
      </c>
      <c r="L48" s="279">
        <f t="shared" si="3"/>
        <v>3690</v>
      </c>
      <c r="M48" s="279">
        <f t="shared" si="4"/>
        <v>4059.0000000000005</v>
      </c>
      <c r="N48" s="279">
        <f t="shared" si="5"/>
        <v>4059.0000000000005</v>
      </c>
      <c r="O48" s="279">
        <f t="shared" si="10"/>
        <v>4059.0000000000005</v>
      </c>
      <c r="P48" s="279">
        <f t="shared" si="0"/>
        <v>4059.0000000000005</v>
      </c>
      <c r="Q48" s="1206">
        <f t="shared" si="0"/>
        <v>4059.0000000000005</v>
      </c>
      <c r="R48" s="163"/>
      <c r="S48" s="333"/>
      <c r="T48" s="496"/>
    </row>
    <row r="49" spans="1:20" ht="19.5">
      <c r="A49" s="512">
        <v>1.22</v>
      </c>
      <c r="B49" s="72" t="s">
        <v>236</v>
      </c>
      <c r="C49" s="340" t="s">
        <v>2136</v>
      </c>
      <c r="D49" s="38">
        <v>3636</v>
      </c>
      <c r="E49" s="143">
        <v>3750</v>
      </c>
      <c r="F49" s="143">
        <v>3750</v>
      </c>
      <c r="G49" s="143">
        <v>3750</v>
      </c>
      <c r="H49" s="143">
        <v>4462.5</v>
      </c>
      <c r="I49" s="279">
        <v>4685</v>
      </c>
      <c r="J49" s="279">
        <f t="shared" si="15"/>
        <v>4685</v>
      </c>
      <c r="K49" s="279">
        <f t="shared" si="2"/>
        <v>4685</v>
      </c>
      <c r="L49" s="279">
        <f t="shared" si="3"/>
        <v>4685</v>
      </c>
      <c r="M49" s="279">
        <f t="shared" si="4"/>
        <v>5153.5</v>
      </c>
      <c r="N49" s="279">
        <f t="shared" si="5"/>
        <v>5153.5</v>
      </c>
      <c r="O49" s="279">
        <f t="shared" si="10"/>
        <v>5153.5</v>
      </c>
      <c r="P49" s="279">
        <f t="shared" si="0"/>
        <v>5153.5</v>
      </c>
      <c r="Q49" s="1206">
        <f t="shared" si="0"/>
        <v>5153.5</v>
      </c>
      <c r="R49" s="163"/>
      <c r="S49" s="333"/>
      <c r="T49" s="496"/>
    </row>
    <row r="50" spans="1:20" ht="15" customHeight="1">
      <c r="A50" s="517">
        <v>2</v>
      </c>
      <c r="B50" s="518" t="s">
        <v>237</v>
      </c>
      <c r="C50" s="500"/>
      <c r="D50" s="501"/>
      <c r="E50" s="681"/>
      <c r="F50" s="681"/>
      <c r="G50" s="681"/>
      <c r="H50" s="681"/>
      <c r="I50" s="681"/>
      <c r="J50" s="681"/>
      <c r="K50" s="681"/>
      <c r="L50" s="681"/>
      <c r="M50" s="681"/>
      <c r="N50" s="681"/>
      <c r="O50" s="681"/>
      <c r="P50" s="681"/>
      <c r="Q50" s="1210"/>
      <c r="R50" s="519"/>
      <c r="S50" s="333"/>
      <c r="T50" s="496"/>
    </row>
    <row r="51" spans="1:20" ht="18">
      <c r="A51" s="494">
        <f>A50+0.01</f>
        <v>2.0099999999999998</v>
      </c>
      <c r="B51" s="45" t="s">
        <v>2137</v>
      </c>
      <c r="C51" s="37" t="s">
        <v>238</v>
      </c>
      <c r="D51" s="38"/>
      <c r="E51" s="143"/>
      <c r="F51" s="143"/>
      <c r="G51" s="143">
        <v>48500</v>
      </c>
      <c r="H51" s="143">
        <v>67383.75</v>
      </c>
      <c r="I51" s="279">
        <v>67383.75</v>
      </c>
      <c r="J51" s="279">
        <f>I51</f>
        <v>67383.75</v>
      </c>
      <c r="K51" s="279">
        <f t="shared" si="2"/>
        <v>67383.75</v>
      </c>
      <c r="L51" s="279">
        <f t="shared" si="3"/>
        <v>67383.75</v>
      </c>
      <c r="M51" s="279">
        <f t="shared" si="4"/>
        <v>74122.125</v>
      </c>
      <c r="N51" s="279">
        <f t="shared" si="5"/>
        <v>74122.125</v>
      </c>
      <c r="O51" s="279">
        <f t="shared" si="10"/>
        <v>74122.125</v>
      </c>
      <c r="P51" s="279">
        <f t="shared" si="0"/>
        <v>74122.125</v>
      </c>
      <c r="Q51" s="1206">
        <f t="shared" si="0"/>
        <v>74122.125</v>
      </c>
      <c r="R51" s="1624" t="s">
        <v>1763</v>
      </c>
      <c r="S51" s="333"/>
      <c r="T51" s="496"/>
    </row>
    <row r="52" spans="1:20" ht="18">
      <c r="A52" s="494">
        <f t="shared" ref="A52:A64" si="16">A51+0.01</f>
        <v>2.0199999999999996</v>
      </c>
      <c r="B52" s="45" t="s">
        <v>2138</v>
      </c>
      <c r="C52" s="37" t="s">
        <v>238</v>
      </c>
      <c r="D52" s="38"/>
      <c r="E52" s="143"/>
      <c r="F52" s="143"/>
      <c r="G52" s="143">
        <v>47500</v>
      </c>
      <c r="H52" s="143">
        <v>46725</v>
      </c>
      <c r="I52" s="279">
        <v>46725</v>
      </c>
      <c r="J52" s="279">
        <f t="shared" ref="J52:J63" si="17">I52</f>
        <v>46725</v>
      </c>
      <c r="K52" s="279">
        <f t="shared" si="2"/>
        <v>46725</v>
      </c>
      <c r="L52" s="279">
        <f t="shared" si="3"/>
        <v>46725</v>
      </c>
      <c r="M52" s="279">
        <f t="shared" si="4"/>
        <v>51397.500000000007</v>
      </c>
      <c r="N52" s="279">
        <f t="shared" si="5"/>
        <v>51397.500000000007</v>
      </c>
      <c r="O52" s="279">
        <f t="shared" si="10"/>
        <v>51397.500000000007</v>
      </c>
      <c r="P52" s="279">
        <f t="shared" si="0"/>
        <v>51397.500000000007</v>
      </c>
      <c r="Q52" s="1206">
        <f t="shared" si="0"/>
        <v>51397.500000000007</v>
      </c>
      <c r="R52" s="1624"/>
      <c r="S52" s="333"/>
      <c r="T52" s="496"/>
    </row>
    <row r="53" spans="1:20" ht="18">
      <c r="A53" s="494">
        <f t="shared" si="16"/>
        <v>2.0299999999999994</v>
      </c>
      <c r="B53" s="45" t="s">
        <v>2139</v>
      </c>
      <c r="C53" s="37" t="s">
        <v>238</v>
      </c>
      <c r="D53" s="38"/>
      <c r="E53" s="143"/>
      <c r="F53" s="143"/>
      <c r="G53" s="143">
        <v>47500</v>
      </c>
      <c r="H53" s="143">
        <v>44992.5</v>
      </c>
      <c r="I53" s="279">
        <v>44992.5</v>
      </c>
      <c r="J53" s="279">
        <f t="shared" si="17"/>
        <v>44992.5</v>
      </c>
      <c r="K53" s="279">
        <f t="shared" si="2"/>
        <v>44992.5</v>
      </c>
      <c r="L53" s="279">
        <f t="shared" si="3"/>
        <v>44992.5</v>
      </c>
      <c r="M53" s="279">
        <f t="shared" si="4"/>
        <v>49491.750000000007</v>
      </c>
      <c r="N53" s="279">
        <f t="shared" si="5"/>
        <v>49491.750000000007</v>
      </c>
      <c r="O53" s="279">
        <f t="shared" si="10"/>
        <v>49491.750000000007</v>
      </c>
      <c r="P53" s="279">
        <f t="shared" si="0"/>
        <v>49491.750000000007</v>
      </c>
      <c r="Q53" s="1206">
        <f t="shared" si="0"/>
        <v>49491.750000000007</v>
      </c>
      <c r="R53" s="1624"/>
      <c r="S53" s="333"/>
      <c r="T53" s="496"/>
    </row>
    <row r="54" spans="1:20" ht="18">
      <c r="A54" s="494">
        <f t="shared" si="16"/>
        <v>2.0399999999999991</v>
      </c>
      <c r="B54" s="45" t="s">
        <v>239</v>
      </c>
      <c r="C54" s="37" t="s">
        <v>238</v>
      </c>
      <c r="D54" s="38"/>
      <c r="E54" s="143"/>
      <c r="F54" s="143"/>
      <c r="G54" s="143">
        <v>47500</v>
      </c>
      <c r="H54" s="143">
        <v>42687.75</v>
      </c>
      <c r="I54" s="279">
        <v>42687.75</v>
      </c>
      <c r="J54" s="279">
        <f t="shared" si="17"/>
        <v>42687.75</v>
      </c>
      <c r="K54" s="279">
        <f t="shared" si="2"/>
        <v>42687.75</v>
      </c>
      <c r="L54" s="279">
        <f t="shared" si="3"/>
        <v>42687.75</v>
      </c>
      <c r="M54" s="279">
        <f t="shared" si="4"/>
        <v>46956.525000000001</v>
      </c>
      <c r="N54" s="279">
        <f t="shared" si="5"/>
        <v>46956.525000000001</v>
      </c>
      <c r="O54" s="279">
        <f t="shared" si="10"/>
        <v>46956.525000000001</v>
      </c>
      <c r="P54" s="279">
        <f t="shared" si="0"/>
        <v>46956.525000000001</v>
      </c>
      <c r="Q54" s="1206">
        <f t="shared" si="0"/>
        <v>46956.525000000001</v>
      </c>
      <c r="R54" s="1624"/>
      <c r="S54" s="333"/>
      <c r="T54" s="496"/>
    </row>
    <row r="55" spans="1:20" ht="18">
      <c r="A55" s="494">
        <f t="shared" si="16"/>
        <v>2.0499999999999989</v>
      </c>
      <c r="B55" s="45" t="s">
        <v>240</v>
      </c>
      <c r="C55" s="37" t="s">
        <v>238</v>
      </c>
      <c r="D55" s="38"/>
      <c r="E55" s="143"/>
      <c r="F55" s="143"/>
      <c r="G55" s="143">
        <v>44000</v>
      </c>
      <c r="H55" s="143">
        <v>50856.75</v>
      </c>
      <c r="I55" s="279">
        <v>50856.75</v>
      </c>
      <c r="J55" s="279">
        <f t="shared" si="17"/>
        <v>50856.75</v>
      </c>
      <c r="K55" s="279">
        <f t="shared" si="2"/>
        <v>50856.75</v>
      </c>
      <c r="L55" s="279">
        <f t="shared" si="3"/>
        <v>50856.75</v>
      </c>
      <c r="M55" s="279">
        <f t="shared" si="4"/>
        <v>55942.425000000003</v>
      </c>
      <c r="N55" s="279">
        <f t="shared" si="5"/>
        <v>55942.425000000003</v>
      </c>
      <c r="O55" s="279">
        <f t="shared" si="10"/>
        <v>55942.425000000003</v>
      </c>
      <c r="P55" s="279">
        <f t="shared" si="0"/>
        <v>55942.425000000003</v>
      </c>
      <c r="Q55" s="1206">
        <f t="shared" si="0"/>
        <v>55942.425000000003</v>
      </c>
      <c r="R55" s="1624"/>
      <c r="S55" s="333"/>
      <c r="T55" s="496"/>
    </row>
    <row r="56" spans="1:20" ht="30">
      <c r="A56" s="494">
        <f t="shared" si="16"/>
        <v>2.0599999999999987</v>
      </c>
      <c r="B56" s="49" t="s">
        <v>2140</v>
      </c>
      <c r="C56" s="37" t="s">
        <v>238</v>
      </c>
      <c r="D56" s="38"/>
      <c r="E56" s="143"/>
      <c r="F56" s="143"/>
      <c r="G56" s="143"/>
      <c r="H56" s="143"/>
      <c r="I56" s="279"/>
      <c r="J56" s="279"/>
      <c r="K56" s="279"/>
      <c r="L56" s="279"/>
      <c r="M56" s="279"/>
      <c r="N56" s="279">
        <v>17600</v>
      </c>
      <c r="O56" s="279">
        <f t="shared" si="10"/>
        <v>17600</v>
      </c>
      <c r="P56" s="279">
        <f t="shared" si="0"/>
        <v>17600</v>
      </c>
      <c r="Q56" s="1206">
        <f t="shared" si="0"/>
        <v>17600</v>
      </c>
      <c r="R56" s="163"/>
      <c r="S56" s="333"/>
      <c r="T56" s="496"/>
    </row>
    <row r="57" spans="1:20" ht="30">
      <c r="A57" s="494">
        <f t="shared" si="16"/>
        <v>2.0699999999999985</v>
      </c>
      <c r="B57" s="49" t="s">
        <v>2141</v>
      </c>
      <c r="C57" s="37" t="s">
        <v>238</v>
      </c>
      <c r="D57" s="38"/>
      <c r="E57" s="143"/>
      <c r="F57" s="143"/>
      <c r="G57" s="143">
        <v>15500</v>
      </c>
      <c r="H57" s="143">
        <v>27300</v>
      </c>
      <c r="I57" s="279">
        <v>28600</v>
      </c>
      <c r="J57" s="279">
        <f t="shared" si="17"/>
        <v>28600</v>
      </c>
      <c r="K57" s="279">
        <f t="shared" si="2"/>
        <v>28600</v>
      </c>
      <c r="L57" s="279">
        <f t="shared" si="3"/>
        <v>28600</v>
      </c>
      <c r="M57" s="279">
        <f t="shared" si="4"/>
        <v>31460.000000000004</v>
      </c>
      <c r="N57" s="279">
        <v>23100</v>
      </c>
      <c r="O57" s="279">
        <f t="shared" si="10"/>
        <v>23100</v>
      </c>
      <c r="P57" s="279">
        <f t="shared" si="0"/>
        <v>23100</v>
      </c>
      <c r="Q57" s="1206">
        <f t="shared" si="0"/>
        <v>23100</v>
      </c>
      <c r="R57" s="163"/>
      <c r="S57" s="333"/>
      <c r="T57" s="496"/>
    </row>
    <row r="58" spans="1:20" ht="30">
      <c r="A58" s="494">
        <f t="shared" si="16"/>
        <v>2.0799999999999983</v>
      </c>
      <c r="B58" s="49" t="s">
        <v>2142</v>
      </c>
      <c r="C58" s="37" t="s">
        <v>238</v>
      </c>
      <c r="D58" s="38"/>
      <c r="E58" s="143"/>
      <c r="F58" s="143"/>
      <c r="G58" s="143"/>
      <c r="H58" s="143"/>
      <c r="I58" s="279"/>
      <c r="J58" s="279"/>
      <c r="K58" s="279"/>
      <c r="L58" s="279"/>
      <c r="M58" s="279"/>
      <c r="N58" s="279">
        <v>38390</v>
      </c>
      <c r="O58" s="279">
        <f t="shared" si="10"/>
        <v>38390</v>
      </c>
      <c r="P58" s="279">
        <f t="shared" si="0"/>
        <v>38390</v>
      </c>
      <c r="Q58" s="1206">
        <f t="shared" si="0"/>
        <v>38390</v>
      </c>
      <c r="R58" s="163"/>
      <c r="S58" s="333"/>
      <c r="T58" s="496"/>
    </row>
    <row r="59" spans="1:20" ht="30">
      <c r="A59" s="494">
        <f t="shared" si="16"/>
        <v>2.0899999999999981</v>
      </c>
      <c r="B59" s="49" t="s">
        <v>2143</v>
      </c>
      <c r="C59" s="37" t="s">
        <v>238</v>
      </c>
      <c r="D59" s="38"/>
      <c r="E59" s="143"/>
      <c r="F59" s="143"/>
      <c r="G59" s="143"/>
      <c r="H59" s="143"/>
      <c r="I59" s="279"/>
      <c r="J59" s="279"/>
      <c r="K59" s="279"/>
      <c r="L59" s="279"/>
      <c r="M59" s="279"/>
      <c r="N59" s="279">
        <v>46000</v>
      </c>
      <c r="O59" s="279">
        <f t="shared" si="10"/>
        <v>46000</v>
      </c>
      <c r="P59" s="279">
        <f t="shared" si="0"/>
        <v>46000</v>
      </c>
      <c r="Q59" s="1206">
        <f t="shared" si="0"/>
        <v>46000</v>
      </c>
      <c r="R59" s="163"/>
      <c r="S59" s="333"/>
      <c r="T59" s="496"/>
    </row>
    <row r="60" spans="1:20" ht="18">
      <c r="A60" s="494">
        <f t="shared" si="16"/>
        <v>2.0999999999999979</v>
      </c>
      <c r="B60" s="67" t="s">
        <v>1545</v>
      </c>
      <c r="C60" s="37" t="s">
        <v>238</v>
      </c>
      <c r="D60" s="38">
        <v>6800</v>
      </c>
      <c r="E60" s="143">
        <v>4000</v>
      </c>
      <c r="F60" s="143">
        <v>4000</v>
      </c>
      <c r="G60" s="143">
        <v>4100</v>
      </c>
      <c r="H60" s="143">
        <v>525</v>
      </c>
      <c r="I60" s="279">
        <v>550</v>
      </c>
      <c r="J60" s="279">
        <f t="shared" si="17"/>
        <v>550</v>
      </c>
      <c r="K60" s="279">
        <f t="shared" si="2"/>
        <v>550</v>
      </c>
      <c r="L60" s="279">
        <f t="shared" si="3"/>
        <v>550</v>
      </c>
      <c r="M60" s="279">
        <f t="shared" si="4"/>
        <v>605</v>
      </c>
      <c r="N60" s="279">
        <v>5227</v>
      </c>
      <c r="O60" s="279">
        <f t="shared" si="10"/>
        <v>5227</v>
      </c>
      <c r="P60" s="279">
        <f t="shared" si="0"/>
        <v>5227</v>
      </c>
      <c r="Q60" s="1206">
        <f t="shared" si="0"/>
        <v>5227</v>
      </c>
      <c r="R60" s="163"/>
      <c r="S60" s="333"/>
      <c r="T60" s="496"/>
    </row>
    <row r="61" spans="1:20" ht="18">
      <c r="A61" s="494">
        <f t="shared" si="16"/>
        <v>2.1099999999999977</v>
      </c>
      <c r="B61" s="67" t="s">
        <v>241</v>
      </c>
      <c r="C61" s="37" t="s">
        <v>238</v>
      </c>
      <c r="D61" s="38">
        <v>8650</v>
      </c>
      <c r="E61" s="143">
        <v>6000</v>
      </c>
      <c r="F61" s="143">
        <v>6000</v>
      </c>
      <c r="G61" s="143">
        <v>6500</v>
      </c>
      <c r="H61" s="143">
        <v>9450</v>
      </c>
      <c r="I61" s="279">
        <v>9900</v>
      </c>
      <c r="J61" s="279">
        <f t="shared" si="17"/>
        <v>9900</v>
      </c>
      <c r="K61" s="279">
        <f t="shared" si="2"/>
        <v>9900</v>
      </c>
      <c r="L61" s="279">
        <f t="shared" si="3"/>
        <v>9900</v>
      </c>
      <c r="M61" s="279">
        <f t="shared" si="4"/>
        <v>10890</v>
      </c>
      <c r="N61" s="279">
        <f>M61</f>
        <v>10890</v>
      </c>
      <c r="O61" s="279">
        <f t="shared" si="10"/>
        <v>10890</v>
      </c>
      <c r="P61" s="279">
        <f t="shared" si="0"/>
        <v>10890</v>
      </c>
      <c r="Q61" s="1206">
        <f t="shared" si="0"/>
        <v>10890</v>
      </c>
      <c r="R61" s="163"/>
      <c r="S61" s="333"/>
      <c r="T61" s="496"/>
    </row>
    <row r="62" spans="1:20" ht="18">
      <c r="A62" s="494">
        <f t="shared" si="16"/>
        <v>2.1199999999999974</v>
      </c>
      <c r="B62" s="67" t="s">
        <v>242</v>
      </c>
      <c r="C62" s="37" t="s">
        <v>238</v>
      </c>
      <c r="D62" s="38">
        <v>1200</v>
      </c>
      <c r="E62" s="143">
        <v>1200</v>
      </c>
      <c r="F62" s="143">
        <v>1200</v>
      </c>
      <c r="G62" s="143">
        <v>1200</v>
      </c>
      <c r="H62" s="143">
        <v>2100</v>
      </c>
      <c r="I62" s="279">
        <v>2200</v>
      </c>
      <c r="J62" s="279">
        <f t="shared" si="17"/>
        <v>2200</v>
      </c>
      <c r="K62" s="279">
        <f t="shared" si="2"/>
        <v>2200</v>
      </c>
      <c r="L62" s="279">
        <f t="shared" si="3"/>
        <v>2200</v>
      </c>
      <c r="M62" s="279">
        <f t="shared" si="4"/>
        <v>2420</v>
      </c>
      <c r="N62" s="279">
        <f t="shared" ref="N62:N126" si="18">M62</f>
        <v>2420</v>
      </c>
      <c r="O62" s="279">
        <f t="shared" si="10"/>
        <v>2420</v>
      </c>
      <c r="P62" s="279">
        <f t="shared" si="0"/>
        <v>2420</v>
      </c>
      <c r="Q62" s="1206">
        <f t="shared" si="0"/>
        <v>2420</v>
      </c>
      <c r="R62" s="163"/>
      <c r="S62" s="333"/>
      <c r="T62" s="496"/>
    </row>
    <row r="63" spans="1:20" ht="18">
      <c r="A63" s="494">
        <f t="shared" si="16"/>
        <v>2.1299999999999972</v>
      </c>
      <c r="B63" s="67" t="s">
        <v>243</v>
      </c>
      <c r="C63" s="37" t="s">
        <v>238</v>
      </c>
      <c r="D63" s="38">
        <v>2600</v>
      </c>
      <c r="E63" s="143">
        <v>2600</v>
      </c>
      <c r="F63" s="143">
        <v>2600</v>
      </c>
      <c r="G63" s="143">
        <v>2600</v>
      </c>
      <c r="H63" s="143">
        <v>5250</v>
      </c>
      <c r="I63" s="279">
        <v>5500</v>
      </c>
      <c r="J63" s="279">
        <f t="shared" si="17"/>
        <v>5500</v>
      </c>
      <c r="K63" s="279">
        <f t="shared" si="2"/>
        <v>5500</v>
      </c>
      <c r="L63" s="279">
        <f t="shared" si="3"/>
        <v>5500</v>
      </c>
      <c r="M63" s="279">
        <f t="shared" si="4"/>
        <v>6050.0000000000009</v>
      </c>
      <c r="N63" s="279">
        <f t="shared" si="18"/>
        <v>6050.0000000000009</v>
      </c>
      <c r="O63" s="279">
        <f t="shared" si="10"/>
        <v>6050.0000000000009</v>
      </c>
      <c r="P63" s="279">
        <f t="shared" si="0"/>
        <v>6050.0000000000009</v>
      </c>
      <c r="Q63" s="1206">
        <f t="shared" si="0"/>
        <v>6050.0000000000009</v>
      </c>
      <c r="R63" s="163"/>
      <c r="S63" s="333"/>
      <c r="T63" s="496"/>
    </row>
    <row r="64" spans="1:20" ht="19.5">
      <c r="A64" s="494">
        <f t="shared" si="16"/>
        <v>2.139999999999997</v>
      </c>
      <c r="B64" s="490" t="s">
        <v>1945</v>
      </c>
      <c r="C64" s="236" t="s">
        <v>1770</v>
      </c>
      <c r="D64" s="38"/>
      <c r="E64" s="143"/>
      <c r="F64" s="143"/>
      <c r="G64" s="143"/>
      <c r="H64" s="143"/>
      <c r="I64" s="279"/>
      <c r="J64" s="279"/>
      <c r="K64" s="279"/>
      <c r="L64" s="279"/>
      <c r="M64" s="279"/>
      <c r="N64" s="279">
        <v>286</v>
      </c>
      <c r="O64" s="279">
        <v>286</v>
      </c>
      <c r="P64" s="279">
        <v>286</v>
      </c>
      <c r="Q64" s="1206">
        <f t="shared" si="0"/>
        <v>286</v>
      </c>
      <c r="R64" s="163"/>
      <c r="S64" s="751" t="s">
        <v>2215</v>
      </c>
      <c r="T64" s="496"/>
    </row>
    <row r="65" spans="1:29" ht="15" customHeight="1">
      <c r="A65" s="434">
        <v>3</v>
      </c>
      <c r="B65" s="489" t="s">
        <v>244</v>
      </c>
      <c r="C65" s="466"/>
      <c r="D65" s="461"/>
      <c r="E65" s="456"/>
      <c r="F65" s="456"/>
      <c r="G65" s="456"/>
      <c r="H65" s="456"/>
      <c r="I65" s="456"/>
      <c r="J65" s="456"/>
      <c r="K65" s="464"/>
      <c r="L65" s="464"/>
      <c r="M65" s="464"/>
      <c r="N65" s="464"/>
      <c r="O65" s="464"/>
      <c r="P65" s="464"/>
      <c r="Q65" s="1204"/>
      <c r="R65" s="520"/>
      <c r="S65" s="333"/>
      <c r="T65" s="496"/>
    </row>
    <row r="66" spans="1:29" ht="18">
      <c r="A66" s="494">
        <f>A65+0.01</f>
        <v>3.01</v>
      </c>
      <c r="B66" s="311" t="s">
        <v>245</v>
      </c>
      <c r="C66" s="37" t="s">
        <v>88</v>
      </c>
      <c r="D66" s="38">
        <v>75</v>
      </c>
      <c r="E66" s="143">
        <v>106</v>
      </c>
      <c r="F66" s="143">
        <v>106</v>
      </c>
      <c r="G66" s="143">
        <v>110</v>
      </c>
      <c r="H66" s="143">
        <v>759</v>
      </c>
      <c r="I66" s="143">
        <v>835</v>
      </c>
      <c r="J66" s="143">
        <f>I66</f>
        <v>835</v>
      </c>
      <c r="K66" s="279">
        <f t="shared" si="2"/>
        <v>835</v>
      </c>
      <c r="L66" s="279">
        <f t="shared" si="3"/>
        <v>835</v>
      </c>
      <c r="M66" s="279">
        <f t="shared" si="4"/>
        <v>918.50000000000011</v>
      </c>
      <c r="N66" s="279">
        <f t="shared" si="18"/>
        <v>918.50000000000011</v>
      </c>
      <c r="O66" s="279">
        <f t="shared" si="10"/>
        <v>918.50000000000011</v>
      </c>
      <c r="P66" s="279">
        <f t="shared" si="0"/>
        <v>918.50000000000011</v>
      </c>
      <c r="Q66" s="1206">
        <f t="shared" si="0"/>
        <v>918.50000000000011</v>
      </c>
      <c r="R66" s="163"/>
      <c r="S66" s="333"/>
      <c r="T66" s="496"/>
      <c r="U66" s="1625" t="s">
        <v>2905</v>
      </c>
      <c r="V66" s="1626" t="s">
        <v>2911</v>
      </c>
      <c r="W66" s="1626"/>
      <c r="X66" s="1626"/>
      <c r="Y66" s="1626"/>
      <c r="Z66" s="1626"/>
      <c r="AA66" s="1626"/>
      <c r="AB66" s="191"/>
      <c r="AC66" s="191"/>
    </row>
    <row r="67" spans="1:29" ht="18">
      <c r="A67" s="494">
        <f t="shared" ref="A67:A77" si="19">A66+0.01</f>
        <v>3.0199999999999996</v>
      </c>
      <c r="B67" s="311" t="s">
        <v>246</v>
      </c>
      <c r="C67" s="37" t="s">
        <v>88</v>
      </c>
      <c r="D67" s="38">
        <v>100</v>
      </c>
      <c r="E67" s="143">
        <v>154</v>
      </c>
      <c r="F67" s="143">
        <v>154</v>
      </c>
      <c r="G67" s="143">
        <v>159</v>
      </c>
      <c r="H67" s="143">
        <v>1055</v>
      </c>
      <c r="I67" s="143">
        <v>1161</v>
      </c>
      <c r="J67" s="143">
        <f t="shared" ref="J67:J77" si="20">I67</f>
        <v>1161</v>
      </c>
      <c r="K67" s="279">
        <f t="shared" si="2"/>
        <v>1161</v>
      </c>
      <c r="L67" s="279">
        <f t="shared" si="3"/>
        <v>1161</v>
      </c>
      <c r="M67" s="279">
        <f t="shared" si="4"/>
        <v>1277.1000000000001</v>
      </c>
      <c r="N67" s="279">
        <f t="shared" si="18"/>
        <v>1277.1000000000001</v>
      </c>
      <c r="O67" s="279">
        <f t="shared" si="10"/>
        <v>1277.1000000000001</v>
      </c>
      <c r="P67" s="279">
        <f t="shared" si="0"/>
        <v>1277.1000000000001</v>
      </c>
      <c r="Q67" s="1206">
        <f t="shared" si="0"/>
        <v>1277.1000000000001</v>
      </c>
      <c r="R67" s="163"/>
      <c r="S67" s="333"/>
      <c r="T67" s="496"/>
      <c r="U67" s="1625"/>
      <c r="V67" s="191" t="s">
        <v>2906</v>
      </c>
      <c r="W67" s="191" t="s">
        <v>2909</v>
      </c>
      <c r="X67" s="191" t="s">
        <v>2908</v>
      </c>
      <c r="Y67" s="191" t="s">
        <v>2910</v>
      </c>
      <c r="Z67" s="191" t="s">
        <v>2907</v>
      </c>
      <c r="AA67" s="191" t="s">
        <v>2908</v>
      </c>
      <c r="AB67" s="191" t="s">
        <v>2909</v>
      </c>
      <c r="AC67" s="191"/>
    </row>
    <row r="68" spans="1:29" ht="18">
      <c r="A68" s="494">
        <f t="shared" si="19"/>
        <v>3.0299999999999994</v>
      </c>
      <c r="B68" s="311" t="s">
        <v>247</v>
      </c>
      <c r="C68" s="37" t="s">
        <v>88</v>
      </c>
      <c r="D68" s="38">
        <v>130</v>
      </c>
      <c r="E68" s="143">
        <v>209</v>
      </c>
      <c r="F68" s="143">
        <v>209</v>
      </c>
      <c r="G68" s="143">
        <v>216</v>
      </c>
      <c r="H68" s="143">
        <v>1465</v>
      </c>
      <c r="I68" s="143">
        <v>1612</v>
      </c>
      <c r="J68" s="143">
        <f t="shared" si="20"/>
        <v>1612</v>
      </c>
      <c r="K68" s="279">
        <f t="shared" si="2"/>
        <v>1612</v>
      </c>
      <c r="L68" s="279">
        <f t="shared" si="3"/>
        <v>1612</v>
      </c>
      <c r="M68" s="279">
        <f t="shared" si="4"/>
        <v>1773.2</v>
      </c>
      <c r="N68" s="279">
        <f t="shared" si="18"/>
        <v>1773.2</v>
      </c>
      <c r="O68" s="279">
        <f t="shared" si="10"/>
        <v>1773.2</v>
      </c>
      <c r="P68" s="279">
        <f t="shared" si="0"/>
        <v>1773.2</v>
      </c>
      <c r="Q68" s="1206">
        <f t="shared" si="0"/>
        <v>1773.2</v>
      </c>
      <c r="R68" s="163"/>
      <c r="S68" s="333"/>
      <c r="T68" s="496"/>
      <c r="U68" s="191">
        <v>25</v>
      </c>
      <c r="V68" s="1494">
        <v>0.17299999999999999</v>
      </c>
      <c r="W68" s="1494">
        <f>V68*$Q$64</f>
        <v>49.477999999999994</v>
      </c>
      <c r="X68" s="1494">
        <v>65</v>
      </c>
      <c r="Y68" s="1495">
        <f>(X68-W68)/X68</f>
        <v>0.2388000000000001</v>
      </c>
      <c r="Z68" s="1494">
        <v>0.20799999999999999</v>
      </c>
      <c r="AA68" s="1494">
        <v>80</v>
      </c>
      <c r="AB68" s="1494">
        <f>Z68*$Q$64</f>
        <v>59.488</v>
      </c>
      <c r="AC68" s="1495">
        <f>(AA68-AB68)/AA68</f>
        <v>0.25640000000000002</v>
      </c>
    </row>
    <row r="69" spans="1:29" ht="18">
      <c r="A69" s="494">
        <f t="shared" si="19"/>
        <v>3.0399999999999991</v>
      </c>
      <c r="B69" s="311" t="s">
        <v>248</v>
      </c>
      <c r="C69" s="37" t="s">
        <v>88</v>
      </c>
      <c r="D69" s="38">
        <v>155</v>
      </c>
      <c r="E69" s="143">
        <v>279</v>
      </c>
      <c r="F69" s="143">
        <v>279</v>
      </c>
      <c r="G69" s="143">
        <v>289</v>
      </c>
      <c r="H69" s="143">
        <v>1880</v>
      </c>
      <c r="I69" s="143">
        <v>2068</v>
      </c>
      <c r="J69" s="143">
        <f t="shared" si="20"/>
        <v>2068</v>
      </c>
      <c r="K69" s="279">
        <f t="shared" si="2"/>
        <v>2068</v>
      </c>
      <c r="L69" s="279">
        <f t="shared" si="3"/>
        <v>2068</v>
      </c>
      <c r="M69" s="279">
        <f t="shared" si="4"/>
        <v>2274.8000000000002</v>
      </c>
      <c r="N69" s="279">
        <f t="shared" si="18"/>
        <v>2274.8000000000002</v>
      </c>
      <c r="O69" s="279">
        <f t="shared" si="10"/>
        <v>2274.8000000000002</v>
      </c>
      <c r="P69" s="279">
        <f t="shared" si="0"/>
        <v>2274.8000000000002</v>
      </c>
      <c r="Q69" s="1206">
        <f t="shared" si="0"/>
        <v>2274.8000000000002</v>
      </c>
      <c r="R69" s="163"/>
      <c r="S69" s="333"/>
      <c r="T69" s="496"/>
      <c r="U69" s="191">
        <v>40</v>
      </c>
      <c r="V69" s="1494">
        <v>0.434</v>
      </c>
      <c r="W69" s="1494">
        <f>V69*$Q$64</f>
        <v>124.124</v>
      </c>
      <c r="X69" s="1494">
        <v>170</v>
      </c>
      <c r="Y69" s="1495">
        <f>(X69-W69)/X69</f>
        <v>0.26985882352941182</v>
      </c>
      <c r="Z69" s="1494">
        <v>0.52300000000000002</v>
      </c>
      <c r="AA69" s="1494">
        <v>205</v>
      </c>
      <c r="AB69" s="1494">
        <f>Z69*$Q$64</f>
        <v>149.578</v>
      </c>
      <c r="AC69" s="1495">
        <f>(AA69-AB69)/AA69</f>
        <v>0.2703512195121951</v>
      </c>
    </row>
    <row r="70" spans="1:29" ht="18">
      <c r="A70" s="494">
        <f t="shared" si="19"/>
        <v>3.0499999999999989</v>
      </c>
      <c r="B70" s="311" t="s">
        <v>249</v>
      </c>
      <c r="C70" s="37" t="s">
        <v>88</v>
      </c>
      <c r="D70" s="38">
        <v>180</v>
      </c>
      <c r="E70" s="143">
        <v>349</v>
      </c>
      <c r="F70" s="143">
        <v>349</v>
      </c>
      <c r="G70" s="143">
        <v>361</v>
      </c>
      <c r="H70" s="143">
        <v>2310</v>
      </c>
      <c r="I70" s="143">
        <v>2541</v>
      </c>
      <c r="J70" s="143">
        <f t="shared" si="20"/>
        <v>2541</v>
      </c>
      <c r="K70" s="279">
        <f t="shared" si="2"/>
        <v>2541</v>
      </c>
      <c r="L70" s="279">
        <f t="shared" si="3"/>
        <v>2541</v>
      </c>
      <c r="M70" s="279">
        <f t="shared" si="4"/>
        <v>2795.1000000000004</v>
      </c>
      <c r="N70" s="279">
        <f t="shared" si="18"/>
        <v>2795.1000000000004</v>
      </c>
      <c r="O70" s="279">
        <f t="shared" si="10"/>
        <v>2795.1000000000004</v>
      </c>
      <c r="P70" s="279">
        <f t="shared" si="0"/>
        <v>2795.1000000000004</v>
      </c>
      <c r="Q70" s="1206">
        <f t="shared" si="0"/>
        <v>2795.1000000000004</v>
      </c>
      <c r="R70" s="163"/>
      <c r="S70" s="333"/>
      <c r="T70" s="496"/>
      <c r="U70" s="848"/>
    </row>
    <row r="71" spans="1:29" ht="18">
      <c r="A71" s="494">
        <f t="shared" si="19"/>
        <v>3.0599999999999987</v>
      </c>
      <c r="B71" s="311" t="s">
        <v>250</v>
      </c>
      <c r="C71" s="37" t="s">
        <v>88</v>
      </c>
      <c r="D71" s="38">
        <v>230</v>
      </c>
      <c r="E71" s="143">
        <v>462</v>
      </c>
      <c r="F71" s="143">
        <v>462</v>
      </c>
      <c r="G71" s="143">
        <v>478</v>
      </c>
      <c r="H71" s="143">
        <v>2882</v>
      </c>
      <c r="I71" s="143">
        <v>3170</v>
      </c>
      <c r="J71" s="143">
        <f t="shared" si="20"/>
        <v>3170</v>
      </c>
      <c r="K71" s="279">
        <f t="shared" si="2"/>
        <v>3170</v>
      </c>
      <c r="L71" s="279">
        <f t="shared" si="3"/>
        <v>3170</v>
      </c>
      <c r="M71" s="279">
        <f t="shared" si="4"/>
        <v>3487.0000000000005</v>
      </c>
      <c r="N71" s="279">
        <f t="shared" si="18"/>
        <v>3487.0000000000005</v>
      </c>
      <c r="O71" s="279">
        <f t="shared" si="10"/>
        <v>3487.0000000000005</v>
      </c>
      <c r="P71" s="279">
        <f t="shared" ref="P71:Q134" si="21">O71</f>
        <v>3487.0000000000005</v>
      </c>
      <c r="Q71" s="1206">
        <f t="shared" ref="Q71:Q77" si="22">P71</f>
        <v>3487.0000000000005</v>
      </c>
      <c r="R71" s="163"/>
      <c r="S71" s="333"/>
      <c r="T71" s="496"/>
      <c r="U71" s="848"/>
    </row>
    <row r="72" spans="1:29" ht="18">
      <c r="A72" s="494">
        <f t="shared" si="19"/>
        <v>3.0699999999999985</v>
      </c>
      <c r="B72" s="311" t="s">
        <v>251</v>
      </c>
      <c r="C72" s="37" t="s">
        <v>88</v>
      </c>
      <c r="D72" s="38">
        <v>320</v>
      </c>
      <c r="E72" s="143">
        <v>641</v>
      </c>
      <c r="F72" s="143">
        <v>641</v>
      </c>
      <c r="G72" s="143">
        <v>664</v>
      </c>
      <c r="H72" s="143">
        <v>4025</v>
      </c>
      <c r="I72" s="143">
        <v>4428</v>
      </c>
      <c r="J72" s="143">
        <f t="shared" si="20"/>
        <v>4428</v>
      </c>
      <c r="K72" s="279">
        <f t="shared" si="2"/>
        <v>4428</v>
      </c>
      <c r="L72" s="279">
        <f t="shared" si="3"/>
        <v>4428</v>
      </c>
      <c r="M72" s="279">
        <f t="shared" si="4"/>
        <v>4870.8</v>
      </c>
      <c r="N72" s="279">
        <f t="shared" si="18"/>
        <v>4870.8</v>
      </c>
      <c r="O72" s="279">
        <f t="shared" si="10"/>
        <v>4870.8</v>
      </c>
      <c r="P72" s="279">
        <f t="shared" si="21"/>
        <v>4870.8</v>
      </c>
      <c r="Q72" s="1206">
        <f t="shared" si="22"/>
        <v>4870.8</v>
      </c>
      <c r="R72" s="163"/>
      <c r="S72" s="333"/>
      <c r="T72" s="496"/>
      <c r="U72" s="848"/>
    </row>
    <row r="73" spans="1:29" ht="18">
      <c r="A73" s="494">
        <f t="shared" si="19"/>
        <v>3.0799999999999983</v>
      </c>
      <c r="B73" s="311" t="s">
        <v>252</v>
      </c>
      <c r="C73" s="37" t="s">
        <v>88</v>
      </c>
      <c r="D73" s="38">
        <v>410</v>
      </c>
      <c r="E73" s="143">
        <v>750</v>
      </c>
      <c r="F73" s="143">
        <v>750</v>
      </c>
      <c r="G73" s="143">
        <v>777</v>
      </c>
      <c r="H73" s="143">
        <v>4730</v>
      </c>
      <c r="I73" s="143">
        <v>5203</v>
      </c>
      <c r="J73" s="143">
        <f t="shared" si="20"/>
        <v>5203</v>
      </c>
      <c r="K73" s="279">
        <f t="shared" ref="K73:K134" si="23">J73</f>
        <v>5203</v>
      </c>
      <c r="L73" s="279">
        <f t="shared" ref="L73:L134" si="24">K73</f>
        <v>5203</v>
      </c>
      <c r="M73" s="279">
        <f t="shared" ref="M73:M134" si="25">L73*1.1</f>
        <v>5723.3</v>
      </c>
      <c r="N73" s="279">
        <f t="shared" si="18"/>
        <v>5723.3</v>
      </c>
      <c r="O73" s="279">
        <f t="shared" si="10"/>
        <v>5723.3</v>
      </c>
      <c r="P73" s="279">
        <f t="shared" si="21"/>
        <v>5723.3</v>
      </c>
      <c r="Q73" s="1206">
        <f t="shared" si="22"/>
        <v>5723.3</v>
      </c>
      <c r="R73" s="163"/>
      <c r="S73" s="333"/>
      <c r="T73" s="496"/>
      <c r="U73" s="848"/>
    </row>
    <row r="74" spans="1:29" ht="18">
      <c r="A74" s="494">
        <f t="shared" si="19"/>
        <v>3.0899999999999981</v>
      </c>
      <c r="B74" s="311" t="s">
        <v>253</v>
      </c>
      <c r="C74" s="37" t="s">
        <v>88</v>
      </c>
      <c r="D74" s="38">
        <v>455</v>
      </c>
      <c r="E74" s="143">
        <v>1084</v>
      </c>
      <c r="F74" s="143">
        <v>1084</v>
      </c>
      <c r="G74" s="143">
        <v>1123</v>
      </c>
      <c r="H74" s="143">
        <v>6754</v>
      </c>
      <c r="I74" s="143">
        <v>7429</v>
      </c>
      <c r="J74" s="143">
        <f t="shared" si="20"/>
        <v>7429</v>
      </c>
      <c r="K74" s="279">
        <f t="shared" si="23"/>
        <v>7429</v>
      </c>
      <c r="L74" s="279">
        <f t="shared" si="24"/>
        <v>7429</v>
      </c>
      <c r="M74" s="279">
        <f t="shared" si="25"/>
        <v>8171.9000000000005</v>
      </c>
      <c r="N74" s="279">
        <f t="shared" si="18"/>
        <v>8171.9000000000005</v>
      </c>
      <c r="O74" s="279">
        <f t="shared" si="10"/>
        <v>8171.9000000000005</v>
      </c>
      <c r="P74" s="279">
        <f t="shared" si="21"/>
        <v>8171.9000000000005</v>
      </c>
      <c r="Q74" s="1206">
        <f t="shared" si="22"/>
        <v>8171.9000000000005</v>
      </c>
      <c r="R74" s="521"/>
      <c r="S74" s="333"/>
      <c r="T74" s="496"/>
      <c r="U74" s="848"/>
    </row>
    <row r="75" spans="1:29" ht="18">
      <c r="A75" s="494">
        <f t="shared" si="19"/>
        <v>3.0999999999999979</v>
      </c>
      <c r="B75" s="311" t="s">
        <v>254</v>
      </c>
      <c r="C75" s="37" t="s">
        <v>88</v>
      </c>
      <c r="D75" s="38"/>
      <c r="E75" s="143"/>
      <c r="F75" s="143"/>
      <c r="G75" s="143"/>
      <c r="H75" s="143">
        <v>10527</v>
      </c>
      <c r="I75" s="143">
        <v>11580</v>
      </c>
      <c r="J75" s="143">
        <f t="shared" si="20"/>
        <v>11580</v>
      </c>
      <c r="K75" s="279">
        <f t="shared" si="23"/>
        <v>11580</v>
      </c>
      <c r="L75" s="279">
        <f t="shared" si="24"/>
        <v>11580</v>
      </c>
      <c r="M75" s="279">
        <f t="shared" si="25"/>
        <v>12738.000000000002</v>
      </c>
      <c r="N75" s="279">
        <f t="shared" si="18"/>
        <v>12738.000000000002</v>
      </c>
      <c r="O75" s="279">
        <f t="shared" si="10"/>
        <v>12738.000000000002</v>
      </c>
      <c r="P75" s="279">
        <f t="shared" si="21"/>
        <v>12738.000000000002</v>
      </c>
      <c r="Q75" s="1206">
        <f t="shared" si="22"/>
        <v>12738.000000000002</v>
      </c>
      <c r="R75" s="163"/>
      <c r="S75" s="333"/>
      <c r="T75" s="496"/>
    </row>
    <row r="76" spans="1:29" ht="18">
      <c r="A76" s="494">
        <f t="shared" si="19"/>
        <v>3.1099999999999977</v>
      </c>
      <c r="B76" s="311" t="s">
        <v>255</v>
      </c>
      <c r="C76" s="37" t="s">
        <v>88</v>
      </c>
      <c r="D76" s="38"/>
      <c r="E76" s="143"/>
      <c r="F76" s="143"/>
      <c r="G76" s="143"/>
      <c r="H76" s="143">
        <v>12243</v>
      </c>
      <c r="I76" s="143">
        <v>13467</v>
      </c>
      <c r="J76" s="143">
        <f t="shared" si="20"/>
        <v>13467</v>
      </c>
      <c r="K76" s="279">
        <f t="shared" si="23"/>
        <v>13467</v>
      </c>
      <c r="L76" s="279">
        <f t="shared" si="24"/>
        <v>13467</v>
      </c>
      <c r="M76" s="279">
        <f t="shared" si="25"/>
        <v>14813.7</v>
      </c>
      <c r="N76" s="279">
        <f t="shared" si="18"/>
        <v>14813.7</v>
      </c>
      <c r="O76" s="279">
        <f t="shared" si="10"/>
        <v>14813.7</v>
      </c>
      <c r="P76" s="279">
        <f t="shared" si="21"/>
        <v>14813.7</v>
      </c>
      <c r="Q76" s="1206">
        <f t="shared" si="22"/>
        <v>14813.7</v>
      </c>
      <c r="R76" s="163"/>
      <c r="S76" s="333"/>
      <c r="T76" s="496"/>
    </row>
    <row r="77" spans="1:29" ht="18">
      <c r="A77" s="494">
        <f t="shared" si="19"/>
        <v>3.1199999999999974</v>
      </c>
      <c r="B77" s="311" t="s">
        <v>256</v>
      </c>
      <c r="C77" s="37" t="s">
        <v>88</v>
      </c>
      <c r="D77" s="38"/>
      <c r="E77" s="143"/>
      <c r="F77" s="143"/>
      <c r="G77" s="143"/>
      <c r="H77" s="143">
        <v>16719</v>
      </c>
      <c r="I77" s="143">
        <v>18391</v>
      </c>
      <c r="J77" s="143">
        <f t="shared" si="20"/>
        <v>18391</v>
      </c>
      <c r="K77" s="279">
        <f t="shared" si="23"/>
        <v>18391</v>
      </c>
      <c r="L77" s="279">
        <f t="shared" si="24"/>
        <v>18391</v>
      </c>
      <c r="M77" s="279">
        <f t="shared" si="25"/>
        <v>20230.100000000002</v>
      </c>
      <c r="N77" s="279">
        <f t="shared" si="18"/>
        <v>20230.100000000002</v>
      </c>
      <c r="O77" s="279">
        <f t="shared" si="10"/>
        <v>20230.100000000002</v>
      </c>
      <c r="P77" s="279">
        <f t="shared" si="21"/>
        <v>20230.100000000002</v>
      </c>
      <c r="Q77" s="1206">
        <f t="shared" si="22"/>
        <v>20230.100000000002</v>
      </c>
      <c r="R77" s="521"/>
      <c r="S77" s="333"/>
      <c r="T77" s="496"/>
    </row>
    <row r="78" spans="1:29" ht="15" customHeight="1">
      <c r="A78" s="434">
        <v>4</v>
      </c>
      <c r="B78" s="489" t="s">
        <v>257</v>
      </c>
      <c r="C78" s="466"/>
      <c r="D78" s="461"/>
      <c r="E78" s="456"/>
      <c r="F78" s="456"/>
      <c r="G78" s="456"/>
      <c r="H78" s="456"/>
      <c r="I78" s="456"/>
      <c r="J78" s="456"/>
      <c r="K78" s="464"/>
      <c r="L78" s="464"/>
      <c r="M78" s="464"/>
      <c r="N78" s="464"/>
      <c r="O78" s="464"/>
      <c r="P78" s="464"/>
      <c r="Q78" s="1204"/>
      <c r="R78" s="509"/>
      <c r="S78" s="333"/>
      <c r="T78" s="496"/>
    </row>
    <row r="79" spans="1:29" ht="18">
      <c r="A79" s="494">
        <f>A78+0.01</f>
        <v>4.01</v>
      </c>
      <c r="B79" s="311" t="s">
        <v>245</v>
      </c>
      <c r="C79" s="37" t="s">
        <v>88</v>
      </c>
      <c r="D79" s="38">
        <v>600</v>
      </c>
      <c r="E79" s="143">
        <v>716</v>
      </c>
      <c r="F79" s="143">
        <v>716</v>
      </c>
      <c r="G79" s="143">
        <v>742</v>
      </c>
      <c r="H79" s="143">
        <v>900</v>
      </c>
      <c r="I79" s="143">
        <v>990</v>
      </c>
      <c r="J79" s="143">
        <f>I79</f>
        <v>990</v>
      </c>
      <c r="K79" s="279">
        <f t="shared" si="23"/>
        <v>990</v>
      </c>
      <c r="L79" s="279">
        <f t="shared" si="24"/>
        <v>990</v>
      </c>
      <c r="M79" s="279">
        <f t="shared" si="25"/>
        <v>1089</v>
      </c>
      <c r="N79" s="279">
        <f t="shared" si="18"/>
        <v>1089</v>
      </c>
      <c r="O79" s="279">
        <f t="shared" si="10"/>
        <v>1089</v>
      </c>
      <c r="P79" s="279">
        <f t="shared" si="21"/>
        <v>1089</v>
      </c>
      <c r="Q79" s="1206">
        <f t="shared" si="21"/>
        <v>1089</v>
      </c>
      <c r="R79" s="163"/>
      <c r="S79" s="333"/>
      <c r="T79" s="496"/>
    </row>
    <row r="80" spans="1:29" ht="18">
      <c r="A80" s="494">
        <f t="shared" ref="A80:A90" si="26">A79+0.01</f>
        <v>4.0199999999999996</v>
      </c>
      <c r="B80" s="311" t="s">
        <v>246</v>
      </c>
      <c r="C80" s="37" t="s">
        <v>88</v>
      </c>
      <c r="D80" s="38">
        <v>1100</v>
      </c>
      <c r="E80" s="143">
        <v>980</v>
      </c>
      <c r="F80" s="143">
        <v>980</v>
      </c>
      <c r="G80" s="143">
        <v>1015</v>
      </c>
      <c r="H80" s="143">
        <v>1145</v>
      </c>
      <c r="I80" s="143">
        <v>1260</v>
      </c>
      <c r="J80" s="143">
        <f t="shared" ref="J80:J90" si="27">I80</f>
        <v>1260</v>
      </c>
      <c r="K80" s="279">
        <f t="shared" si="23"/>
        <v>1260</v>
      </c>
      <c r="L80" s="279">
        <f t="shared" si="24"/>
        <v>1260</v>
      </c>
      <c r="M80" s="279">
        <f t="shared" si="25"/>
        <v>1386</v>
      </c>
      <c r="N80" s="279">
        <f t="shared" si="18"/>
        <v>1386</v>
      </c>
      <c r="O80" s="279">
        <f t="shared" si="10"/>
        <v>1386</v>
      </c>
      <c r="P80" s="279">
        <f t="shared" si="21"/>
        <v>1386</v>
      </c>
      <c r="Q80" s="1206">
        <f t="shared" si="21"/>
        <v>1386</v>
      </c>
      <c r="R80" s="163"/>
      <c r="S80" s="333"/>
      <c r="T80" s="496"/>
    </row>
    <row r="81" spans="1:20" ht="18">
      <c r="A81" s="494">
        <f t="shared" si="26"/>
        <v>4.0299999999999994</v>
      </c>
      <c r="B81" s="311" t="s">
        <v>247</v>
      </c>
      <c r="C81" s="37" t="s">
        <v>88</v>
      </c>
      <c r="D81" s="38">
        <v>1000</v>
      </c>
      <c r="E81" s="143">
        <v>1482</v>
      </c>
      <c r="F81" s="143">
        <v>1482</v>
      </c>
      <c r="G81" s="143">
        <v>1535</v>
      </c>
      <c r="H81" s="143">
        <v>1715</v>
      </c>
      <c r="I81" s="143">
        <v>1887</v>
      </c>
      <c r="J81" s="143">
        <f t="shared" si="27"/>
        <v>1887</v>
      </c>
      <c r="K81" s="279">
        <f t="shared" si="23"/>
        <v>1887</v>
      </c>
      <c r="L81" s="279">
        <f t="shared" si="24"/>
        <v>1887</v>
      </c>
      <c r="M81" s="279">
        <f t="shared" si="25"/>
        <v>2075.7000000000003</v>
      </c>
      <c r="N81" s="279">
        <f t="shared" si="18"/>
        <v>2075.7000000000003</v>
      </c>
      <c r="O81" s="279">
        <f t="shared" si="10"/>
        <v>2075.7000000000003</v>
      </c>
      <c r="P81" s="279">
        <f t="shared" si="21"/>
        <v>2075.7000000000003</v>
      </c>
      <c r="Q81" s="1206">
        <f t="shared" si="21"/>
        <v>2075.7000000000003</v>
      </c>
      <c r="R81" s="163"/>
      <c r="S81" s="333"/>
      <c r="T81" s="496"/>
    </row>
    <row r="82" spans="1:20" ht="18">
      <c r="A82" s="494">
        <f t="shared" si="26"/>
        <v>4.0399999999999991</v>
      </c>
      <c r="B82" s="311" t="s">
        <v>248</v>
      </c>
      <c r="C82" s="37" t="s">
        <v>88</v>
      </c>
      <c r="D82" s="38">
        <v>1300</v>
      </c>
      <c r="E82" s="143">
        <v>1986</v>
      </c>
      <c r="F82" s="143">
        <v>1986</v>
      </c>
      <c r="G82" s="143">
        <v>2058</v>
      </c>
      <c r="H82" s="143">
        <v>2235</v>
      </c>
      <c r="I82" s="143">
        <v>2459</v>
      </c>
      <c r="J82" s="143">
        <f t="shared" si="27"/>
        <v>2459</v>
      </c>
      <c r="K82" s="279">
        <f t="shared" si="23"/>
        <v>2459</v>
      </c>
      <c r="L82" s="279">
        <f t="shared" si="24"/>
        <v>2459</v>
      </c>
      <c r="M82" s="279">
        <f t="shared" si="25"/>
        <v>2704.9</v>
      </c>
      <c r="N82" s="279">
        <f t="shared" si="18"/>
        <v>2704.9</v>
      </c>
      <c r="O82" s="279">
        <f t="shared" ref="O82:O145" si="28">N82</f>
        <v>2704.9</v>
      </c>
      <c r="P82" s="279">
        <f t="shared" si="21"/>
        <v>2704.9</v>
      </c>
      <c r="Q82" s="1206">
        <f t="shared" si="21"/>
        <v>2704.9</v>
      </c>
      <c r="R82" s="163"/>
      <c r="S82" s="333"/>
      <c r="T82" s="496"/>
    </row>
    <row r="83" spans="1:20" ht="18">
      <c r="A83" s="494">
        <f t="shared" si="26"/>
        <v>4.0499999999999989</v>
      </c>
      <c r="B83" s="311" t="s">
        <v>249</v>
      </c>
      <c r="C83" s="37" t="s">
        <v>88</v>
      </c>
      <c r="D83" s="38">
        <v>1500</v>
      </c>
      <c r="E83" s="143">
        <v>2276</v>
      </c>
      <c r="F83" s="143">
        <v>2276</v>
      </c>
      <c r="G83" s="143">
        <v>2358</v>
      </c>
      <c r="H83" s="143">
        <v>2565</v>
      </c>
      <c r="I83" s="143">
        <v>2822</v>
      </c>
      <c r="J83" s="143">
        <f t="shared" si="27"/>
        <v>2822</v>
      </c>
      <c r="K83" s="279">
        <f t="shared" si="23"/>
        <v>2822</v>
      </c>
      <c r="L83" s="279">
        <f t="shared" si="24"/>
        <v>2822</v>
      </c>
      <c r="M83" s="279">
        <f t="shared" si="25"/>
        <v>3104.2000000000003</v>
      </c>
      <c r="N83" s="279">
        <f t="shared" si="18"/>
        <v>3104.2000000000003</v>
      </c>
      <c r="O83" s="279">
        <f t="shared" si="28"/>
        <v>3104.2000000000003</v>
      </c>
      <c r="P83" s="279">
        <f t="shared" si="21"/>
        <v>3104.2000000000003</v>
      </c>
      <c r="Q83" s="1206">
        <f t="shared" si="21"/>
        <v>3104.2000000000003</v>
      </c>
      <c r="R83" s="163"/>
      <c r="S83" s="333"/>
      <c r="T83" s="496"/>
    </row>
    <row r="84" spans="1:20" ht="18">
      <c r="A84" s="494">
        <f t="shared" si="26"/>
        <v>4.0599999999999987</v>
      </c>
      <c r="B84" s="311" t="s">
        <v>250</v>
      </c>
      <c r="C84" s="37" t="s">
        <v>88</v>
      </c>
      <c r="D84" s="38">
        <v>2069</v>
      </c>
      <c r="E84" s="143">
        <v>3336</v>
      </c>
      <c r="F84" s="143">
        <v>3336</v>
      </c>
      <c r="G84" s="143">
        <v>3456</v>
      </c>
      <c r="H84" s="143">
        <v>3500</v>
      </c>
      <c r="I84" s="143">
        <v>3850</v>
      </c>
      <c r="J84" s="143">
        <f t="shared" si="27"/>
        <v>3850</v>
      </c>
      <c r="K84" s="279">
        <f t="shared" si="23"/>
        <v>3850</v>
      </c>
      <c r="L84" s="279">
        <f t="shared" si="24"/>
        <v>3850</v>
      </c>
      <c r="M84" s="279">
        <f t="shared" si="25"/>
        <v>4235</v>
      </c>
      <c r="N84" s="279">
        <f t="shared" si="18"/>
        <v>4235</v>
      </c>
      <c r="O84" s="279">
        <f t="shared" si="28"/>
        <v>4235</v>
      </c>
      <c r="P84" s="279">
        <f t="shared" si="21"/>
        <v>4235</v>
      </c>
      <c r="Q84" s="1206">
        <f t="shared" si="21"/>
        <v>4235</v>
      </c>
      <c r="R84" s="163"/>
      <c r="S84" s="333"/>
      <c r="T84" s="496"/>
    </row>
    <row r="85" spans="1:20" ht="18">
      <c r="A85" s="494">
        <f t="shared" si="26"/>
        <v>4.0699999999999985</v>
      </c>
      <c r="B85" s="311" t="s">
        <v>251</v>
      </c>
      <c r="C85" s="37" t="s">
        <v>88</v>
      </c>
      <c r="D85" s="38">
        <v>2650</v>
      </c>
      <c r="E85" s="143">
        <v>4260</v>
      </c>
      <c r="F85" s="143">
        <v>4260</v>
      </c>
      <c r="G85" s="143">
        <v>4414</v>
      </c>
      <c r="H85" s="143">
        <v>4470</v>
      </c>
      <c r="I85" s="143">
        <v>4917</v>
      </c>
      <c r="J85" s="143">
        <f t="shared" si="27"/>
        <v>4917</v>
      </c>
      <c r="K85" s="279">
        <f t="shared" si="23"/>
        <v>4917</v>
      </c>
      <c r="L85" s="279">
        <f t="shared" si="24"/>
        <v>4917</v>
      </c>
      <c r="M85" s="279">
        <f t="shared" si="25"/>
        <v>5408.7000000000007</v>
      </c>
      <c r="N85" s="279">
        <f t="shared" si="18"/>
        <v>5408.7000000000007</v>
      </c>
      <c r="O85" s="279">
        <f t="shared" si="28"/>
        <v>5408.7000000000007</v>
      </c>
      <c r="P85" s="279">
        <f t="shared" si="21"/>
        <v>5408.7000000000007</v>
      </c>
      <c r="Q85" s="1206">
        <f t="shared" si="21"/>
        <v>5408.7000000000007</v>
      </c>
      <c r="R85" s="163"/>
      <c r="S85" s="333"/>
      <c r="T85" s="496"/>
    </row>
    <row r="86" spans="1:20" ht="18">
      <c r="A86" s="494">
        <f t="shared" si="26"/>
        <v>4.0799999999999983</v>
      </c>
      <c r="B86" s="311" t="s">
        <v>252</v>
      </c>
      <c r="C86" s="37" t="s">
        <v>88</v>
      </c>
      <c r="D86" s="38">
        <v>3400</v>
      </c>
      <c r="E86" s="143">
        <v>5364</v>
      </c>
      <c r="F86" s="143">
        <v>5364</v>
      </c>
      <c r="G86" s="143">
        <v>5557</v>
      </c>
      <c r="H86" s="143">
        <v>5540</v>
      </c>
      <c r="I86" s="143">
        <v>6094</v>
      </c>
      <c r="J86" s="143">
        <f t="shared" si="27"/>
        <v>6094</v>
      </c>
      <c r="K86" s="279">
        <f t="shared" si="23"/>
        <v>6094</v>
      </c>
      <c r="L86" s="279">
        <f t="shared" si="24"/>
        <v>6094</v>
      </c>
      <c r="M86" s="279">
        <f t="shared" si="25"/>
        <v>6703.4000000000005</v>
      </c>
      <c r="N86" s="279">
        <f t="shared" si="18"/>
        <v>6703.4000000000005</v>
      </c>
      <c r="O86" s="279">
        <f t="shared" si="28"/>
        <v>6703.4000000000005</v>
      </c>
      <c r="P86" s="279">
        <f t="shared" si="21"/>
        <v>6703.4000000000005</v>
      </c>
      <c r="Q86" s="1206">
        <f t="shared" si="21"/>
        <v>6703.4000000000005</v>
      </c>
      <c r="R86" s="163"/>
      <c r="S86" s="333"/>
      <c r="T86" s="496"/>
    </row>
    <row r="87" spans="1:20" ht="18">
      <c r="A87" s="494">
        <f t="shared" si="26"/>
        <v>4.0899999999999981</v>
      </c>
      <c r="B87" s="311" t="s">
        <v>253</v>
      </c>
      <c r="C87" s="37" t="s">
        <v>88</v>
      </c>
      <c r="D87" s="38">
        <v>4840</v>
      </c>
      <c r="E87" s="143">
        <v>7939</v>
      </c>
      <c r="F87" s="143">
        <v>7939</v>
      </c>
      <c r="G87" s="143">
        <v>8225</v>
      </c>
      <c r="H87" s="143">
        <v>8230</v>
      </c>
      <c r="I87" s="143">
        <v>9053</v>
      </c>
      <c r="J87" s="143">
        <f t="shared" si="27"/>
        <v>9053</v>
      </c>
      <c r="K87" s="279">
        <f t="shared" si="23"/>
        <v>9053</v>
      </c>
      <c r="L87" s="279">
        <f t="shared" si="24"/>
        <v>9053</v>
      </c>
      <c r="M87" s="279">
        <f t="shared" si="25"/>
        <v>9958.3000000000011</v>
      </c>
      <c r="N87" s="279">
        <f t="shared" si="18"/>
        <v>9958.3000000000011</v>
      </c>
      <c r="O87" s="279">
        <f t="shared" si="28"/>
        <v>9958.3000000000011</v>
      </c>
      <c r="P87" s="279">
        <f t="shared" si="21"/>
        <v>9958.3000000000011</v>
      </c>
      <c r="Q87" s="1206">
        <f t="shared" si="21"/>
        <v>9958.3000000000011</v>
      </c>
      <c r="R87" s="163"/>
      <c r="S87" s="333"/>
      <c r="T87" s="496"/>
    </row>
    <row r="88" spans="1:20" ht="18">
      <c r="A88" s="494">
        <f t="shared" si="26"/>
        <v>4.0999999999999979</v>
      </c>
      <c r="B88" s="311" t="s">
        <v>254</v>
      </c>
      <c r="C88" s="37" t="s">
        <v>88</v>
      </c>
      <c r="D88" s="38">
        <v>4840</v>
      </c>
      <c r="E88" s="143"/>
      <c r="F88" s="143"/>
      <c r="G88" s="143">
        <v>10885</v>
      </c>
      <c r="H88" s="143">
        <v>11220</v>
      </c>
      <c r="I88" s="143">
        <v>12342</v>
      </c>
      <c r="J88" s="143">
        <f t="shared" si="27"/>
        <v>12342</v>
      </c>
      <c r="K88" s="279">
        <f t="shared" si="23"/>
        <v>12342</v>
      </c>
      <c r="L88" s="279">
        <f t="shared" si="24"/>
        <v>12342</v>
      </c>
      <c r="M88" s="279">
        <f t="shared" si="25"/>
        <v>13576.2</v>
      </c>
      <c r="N88" s="279">
        <f t="shared" si="18"/>
        <v>13576.2</v>
      </c>
      <c r="O88" s="279">
        <f t="shared" si="28"/>
        <v>13576.2</v>
      </c>
      <c r="P88" s="279">
        <f t="shared" si="21"/>
        <v>13576.2</v>
      </c>
      <c r="Q88" s="1206">
        <f t="shared" si="21"/>
        <v>13576.2</v>
      </c>
      <c r="R88" s="163"/>
      <c r="S88" s="333"/>
      <c r="T88" s="496"/>
    </row>
    <row r="89" spans="1:20" ht="18">
      <c r="A89" s="494">
        <f t="shared" si="26"/>
        <v>4.1099999999999977</v>
      </c>
      <c r="B89" s="311" t="s">
        <v>255</v>
      </c>
      <c r="C89" s="37" t="s">
        <v>88</v>
      </c>
      <c r="D89" s="38">
        <v>4840</v>
      </c>
      <c r="E89" s="143"/>
      <c r="F89" s="143"/>
      <c r="G89" s="143">
        <v>13170</v>
      </c>
      <c r="H89" s="143">
        <v>13310</v>
      </c>
      <c r="I89" s="143">
        <v>14641</v>
      </c>
      <c r="J89" s="143">
        <f t="shared" si="27"/>
        <v>14641</v>
      </c>
      <c r="K89" s="279">
        <f t="shared" si="23"/>
        <v>14641</v>
      </c>
      <c r="L89" s="279">
        <f t="shared" si="24"/>
        <v>14641</v>
      </c>
      <c r="M89" s="279">
        <f t="shared" si="25"/>
        <v>16105.100000000002</v>
      </c>
      <c r="N89" s="279">
        <f t="shared" si="18"/>
        <v>16105.100000000002</v>
      </c>
      <c r="O89" s="279">
        <f t="shared" si="28"/>
        <v>16105.100000000002</v>
      </c>
      <c r="P89" s="279">
        <f t="shared" si="21"/>
        <v>16105.100000000002</v>
      </c>
      <c r="Q89" s="1206">
        <f t="shared" si="21"/>
        <v>16105.100000000002</v>
      </c>
      <c r="R89" s="163"/>
      <c r="S89" s="333"/>
      <c r="T89" s="496"/>
    </row>
    <row r="90" spans="1:20" ht="18">
      <c r="A90" s="494">
        <f t="shared" si="26"/>
        <v>4.1199999999999974</v>
      </c>
      <c r="B90" s="311" t="s">
        <v>256</v>
      </c>
      <c r="C90" s="37" t="s">
        <v>88</v>
      </c>
      <c r="D90" s="38"/>
      <c r="E90" s="143"/>
      <c r="F90" s="143"/>
      <c r="G90" s="143"/>
      <c r="H90" s="143">
        <v>18513</v>
      </c>
      <c r="I90" s="143">
        <v>20364</v>
      </c>
      <c r="J90" s="143">
        <f t="shared" si="27"/>
        <v>20364</v>
      </c>
      <c r="K90" s="279">
        <f t="shared" si="23"/>
        <v>20364</v>
      </c>
      <c r="L90" s="279">
        <f t="shared" si="24"/>
        <v>20364</v>
      </c>
      <c r="M90" s="279">
        <f t="shared" si="25"/>
        <v>22400.400000000001</v>
      </c>
      <c r="N90" s="279">
        <f t="shared" si="18"/>
        <v>22400.400000000001</v>
      </c>
      <c r="O90" s="279">
        <f t="shared" si="28"/>
        <v>22400.400000000001</v>
      </c>
      <c r="P90" s="279">
        <f t="shared" si="21"/>
        <v>22400.400000000001</v>
      </c>
      <c r="Q90" s="1206">
        <f t="shared" si="21"/>
        <v>22400.400000000001</v>
      </c>
      <c r="R90" s="521"/>
      <c r="S90" s="333"/>
      <c r="T90" s="496"/>
    </row>
    <row r="91" spans="1:20" ht="15" customHeight="1">
      <c r="A91" s="434">
        <v>5</v>
      </c>
      <c r="B91" s="489" t="s">
        <v>258</v>
      </c>
      <c r="C91" s="466"/>
      <c r="D91" s="461"/>
      <c r="E91" s="456"/>
      <c r="F91" s="456"/>
      <c r="G91" s="456"/>
      <c r="H91" s="456"/>
      <c r="I91" s="456"/>
      <c r="J91" s="456"/>
      <c r="K91" s="464"/>
      <c r="L91" s="464"/>
      <c r="M91" s="464"/>
      <c r="N91" s="464"/>
      <c r="O91" s="464"/>
      <c r="P91" s="464"/>
      <c r="Q91" s="1204"/>
      <c r="R91" s="509"/>
      <c r="S91" s="333"/>
      <c r="T91" s="496"/>
    </row>
    <row r="92" spans="1:20" ht="18">
      <c r="A92" s="494">
        <f>A91+0.01</f>
        <v>5.01</v>
      </c>
      <c r="B92" s="311" t="s">
        <v>245</v>
      </c>
      <c r="C92" s="37" t="s">
        <v>88</v>
      </c>
      <c r="D92" s="38">
        <v>698</v>
      </c>
      <c r="E92" s="143">
        <v>809</v>
      </c>
      <c r="F92" s="143">
        <v>809</v>
      </c>
      <c r="G92" s="143">
        <v>839</v>
      </c>
      <c r="H92" s="143">
        <v>1056</v>
      </c>
      <c r="I92" s="143">
        <v>1162</v>
      </c>
      <c r="J92" s="143">
        <f>I92</f>
        <v>1162</v>
      </c>
      <c r="K92" s="279">
        <f t="shared" si="23"/>
        <v>1162</v>
      </c>
      <c r="L92" s="279">
        <f t="shared" si="24"/>
        <v>1162</v>
      </c>
      <c r="M92" s="279">
        <f t="shared" si="25"/>
        <v>1278.2</v>
      </c>
      <c r="N92" s="279">
        <f t="shared" si="18"/>
        <v>1278.2</v>
      </c>
      <c r="O92" s="279">
        <f t="shared" si="28"/>
        <v>1278.2</v>
      </c>
      <c r="P92" s="279">
        <f t="shared" si="21"/>
        <v>1278.2</v>
      </c>
      <c r="Q92" s="1206">
        <f t="shared" si="21"/>
        <v>1278.2</v>
      </c>
      <c r="R92" s="163"/>
      <c r="S92" s="333"/>
      <c r="T92" s="496"/>
    </row>
    <row r="93" spans="1:20" ht="18">
      <c r="A93" s="494">
        <f t="shared" ref="A93:A103" si="29">A92+0.01</f>
        <v>5.0199999999999996</v>
      </c>
      <c r="B93" s="311" t="s">
        <v>246</v>
      </c>
      <c r="C93" s="37" t="s">
        <v>88</v>
      </c>
      <c r="D93" s="38">
        <v>791</v>
      </c>
      <c r="E93" s="143">
        <v>1147</v>
      </c>
      <c r="F93" s="143">
        <v>1147</v>
      </c>
      <c r="G93" s="143">
        <v>1188</v>
      </c>
      <c r="H93" s="143">
        <v>1340</v>
      </c>
      <c r="I93" s="143">
        <v>1474</v>
      </c>
      <c r="J93" s="143">
        <f t="shared" ref="J93:J103" si="30">I93</f>
        <v>1474</v>
      </c>
      <c r="K93" s="279">
        <f t="shared" si="23"/>
        <v>1474</v>
      </c>
      <c r="L93" s="279">
        <f t="shared" si="24"/>
        <v>1474</v>
      </c>
      <c r="M93" s="279">
        <f t="shared" si="25"/>
        <v>1621.4</v>
      </c>
      <c r="N93" s="279">
        <f t="shared" si="18"/>
        <v>1621.4</v>
      </c>
      <c r="O93" s="279">
        <f t="shared" si="28"/>
        <v>1621.4</v>
      </c>
      <c r="P93" s="279">
        <f t="shared" si="21"/>
        <v>1621.4</v>
      </c>
      <c r="Q93" s="1206">
        <f t="shared" si="21"/>
        <v>1621.4</v>
      </c>
      <c r="R93" s="163"/>
      <c r="S93" s="333"/>
      <c r="T93" s="496"/>
    </row>
    <row r="94" spans="1:20" ht="18">
      <c r="A94" s="494">
        <f t="shared" si="29"/>
        <v>5.0299999999999994</v>
      </c>
      <c r="B94" s="311" t="s">
        <v>247</v>
      </c>
      <c r="C94" s="37" t="s">
        <v>88</v>
      </c>
      <c r="D94" s="38">
        <v>1155</v>
      </c>
      <c r="E94" s="143">
        <v>1730</v>
      </c>
      <c r="F94" s="143">
        <v>1730</v>
      </c>
      <c r="G94" s="143">
        <v>1792</v>
      </c>
      <c r="H94" s="143">
        <v>2010</v>
      </c>
      <c r="I94" s="143">
        <v>2211</v>
      </c>
      <c r="J94" s="143">
        <f t="shared" si="30"/>
        <v>2211</v>
      </c>
      <c r="K94" s="279">
        <f t="shared" si="23"/>
        <v>2211</v>
      </c>
      <c r="L94" s="279">
        <f t="shared" si="24"/>
        <v>2211</v>
      </c>
      <c r="M94" s="279">
        <f t="shared" si="25"/>
        <v>2432.1000000000004</v>
      </c>
      <c r="N94" s="279">
        <f t="shared" si="18"/>
        <v>2432.1000000000004</v>
      </c>
      <c r="O94" s="279">
        <f t="shared" si="28"/>
        <v>2432.1000000000004</v>
      </c>
      <c r="P94" s="279">
        <f t="shared" si="21"/>
        <v>2432.1000000000004</v>
      </c>
      <c r="Q94" s="1206">
        <f t="shared" si="21"/>
        <v>2432.1000000000004</v>
      </c>
      <c r="R94" s="163"/>
      <c r="S94" s="333"/>
      <c r="T94" s="496"/>
    </row>
    <row r="95" spans="1:20" ht="18">
      <c r="A95" s="494">
        <f t="shared" si="29"/>
        <v>5.0399999999999991</v>
      </c>
      <c r="B95" s="311" t="s">
        <v>248</v>
      </c>
      <c r="C95" s="37" t="s">
        <v>88</v>
      </c>
      <c r="D95" s="38">
        <v>1540</v>
      </c>
      <c r="E95" s="143">
        <v>2330</v>
      </c>
      <c r="F95" s="143">
        <v>2330</v>
      </c>
      <c r="G95" s="143">
        <v>2414</v>
      </c>
      <c r="H95" s="143">
        <v>2565</v>
      </c>
      <c r="I95" s="143">
        <v>2822</v>
      </c>
      <c r="J95" s="143">
        <f t="shared" si="30"/>
        <v>2822</v>
      </c>
      <c r="K95" s="279">
        <f t="shared" si="23"/>
        <v>2822</v>
      </c>
      <c r="L95" s="279">
        <f t="shared" si="24"/>
        <v>2822</v>
      </c>
      <c r="M95" s="279">
        <f t="shared" si="25"/>
        <v>3104.2000000000003</v>
      </c>
      <c r="N95" s="279">
        <f t="shared" si="18"/>
        <v>3104.2000000000003</v>
      </c>
      <c r="O95" s="279">
        <f t="shared" si="28"/>
        <v>3104.2000000000003</v>
      </c>
      <c r="P95" s="279">
        <f t="shared" si="21"/>
        <v>3104.2000000000003</v>
      </c>
      <c r="Q95" s="1206">
        <f t="shared" si="21"/>
        <v>3104.2000000000003</v>
      </c>
      <c r="R95" s="163"/>
      <c r="S95" s="333"/>
      <c r="T95" s="496"/>
    </row>
    <row r="96" spans="1:20" ht="18">
      <c r="A96" s="494">
        <f t="shared" si="29"/>
        <v>5.0499999999999989</v>
      </c>
      <c r="B96" s="311" t="s">
        <v>249</v>
      </c>
      <c r="C96" s="37" t="s">
        <v>88</v>
      </c>
      <c r="D96" s="38">
        <v>1798</v>
      </c>
      <c r="E96" s="143">
        <v>2685</v>
      </c>
      <c r="F96" s="143">
        <v>2685</v>
      </c>
      <c r="G96" s="143">
        <v>2782</v>
      </c>
      <c r="H96" s="143">
        <v>2960</v>
      </c>
      <c r="I96" s="143">
        <v>3256</v>
      </c>
      <c r="J96" s="143">
        <f t="shared" si="30"/>
        <v>3256</v>
      </c>
      <c r="K96" s="279">
        <f t="shared" si="23"/>
        <v>3256</v>
      </c>
      <c r="L96" s="279">
        <f t="shared" si="24"/>
        <v>3256</v>
      </c>
      <c r="M96" s="279">
        <f t="shared" si="25"/>
        <v>3581.6000000000004</v>
      </c>
      <c r="N96" s="279">
        <f t="shared" si="18"/>
        <v>3581.6000000000004</v>
      </c>
      <c r="O96" s="279">
        <f t="shared" si="28"/>
        <v>3581.6000000000004</v>
      </c>
      <c r="P96" s="279">
        <f t="shared" si="21"/>
        <v>3581.6000000000004</v>
      </c>
      <c r="Q96" s="1206">
        <f t="shared" si="21"/>
        <v>3581.6000000000004</v>
      </c>
      <c r="R96" s="163"/>
      <c r="S96" s="333"/>
      <c r="T96" s="496"/>
    </row>
    <row r="97" spans="1:20" ht="18">
      <c r="A97" s="494">
        <f t="shared" si="29"/>
        <v>5.0599999999999987</v>
      </c>
      <c r="B97" s="311" t="s">
        <v>250</v>
      </c>
      <c r="C97" s="37" t="s">
        <v>88</v>
      </c>
      <c r="D97" s="38">
        <v>2394</v>
      </c>
      <c r="E97" s="143">
        <v>4043</v>
      </c>
      <c r="F97" s="143">
        <v>4043</v>
      </c>
      <c r="G97" s="143">
        <v>4189</v>
      </c>
      <c r="H97" s="143">
        <v>4310</v>
      </c>
      <c r="I97" s="143">
        <v>4741</v>
      </c>
      <c r="J97" s="143">
        <f t="shared" si="30"/>
        <v>4741</v>
      </c>
      <c r="K97" s="279">
        <f t="shared" si="23"/>
        <v>4741</v>
      </c>
      <c r="L97" s="279">
        <f t="shared" si="24"/>
        <v>4741</v>
      </c>
      <c r="M97" s="279">
        <f t="shared" si="25"/>
        <v>5215.1000000000004</v>
      </c>
      <c r="N97" s="279">
        <f t="shared" si="18"/>
        <v>5215.1000000000004</v>
      </c>
      <c r="O97" s="279">
        <f t="shared" si="28"/>
        <v>5215.1000000000004</v>
      </c>
      <c r="P97" s="279">
        <f t="shared" si="21"/>
        <v>5215.1000000000004</v>
      </c>
      <c r="Q97" s="1206">
        <f t="shared" si="21"/>
        <v>5215.1000000000004</v>
      </c>
      <c r="R97" s="163"/>
      <c r="S97" s="333"/>
      <c r="T97" s="496"/>
    </row>
    <row r="98" spans="1:20" ht="18">
      <c r="A98" s="494">
        <f t="shared" si="29"/>
        <v>5.0699999999999985</v>
      </c>
      <c r="B98" s="311" t="s">
        <v>251</v>
      </c>
      <c r="C98" s="37" t="s">
        <v>88</v>
      </c>
      <c r="D98" s="38">
        <v>3059</v>
      </c>
      <c r="E98" s="143">
        <v>5180</v>
      </c>
      <c r="F98" s="143">
        <v>5180</v>
      </c>
      <c r="G98" s="143">
        <v>5367</v>
      </c>
      <c r="H98" s="143">
        <v>5395</v>
      </c>
      <c r="I98" s="143">
        <v>5935</v>
      </c>
      <c r="J98" s="143">
        <f t="shared" si="30"/>
        <v>5935</v>
      </c>
      <c r="K98" s="279">
        <f t="shared" si="23"/>
        <v>5935</v>
      </c>
      <c r="L98" s="279">
        <f t="shared" si="24"/>
        <v>5935</v>
      </c>
      <c r="M98" s="279">
        <f t="shared" si="25"/>
        <v>6528.5000000000009</v>
      </c>
      <c r="N98" s="279">
        <f t="shared" si="18"/>
        <v>6528.5000000000009</v>
      </c>
      <c r="O98" s="279">
        <f t="shared" si="28"/>
        <v>6528.5000000000009</v>
      </c>
      <c r="P98" s="279">
        <f t="shared" si="21"/>
        <v>6528.5000000000009</v>
      </c>
      <c r="Q98" s="1206">
        <f t="shared" si="21"/>
        <v>6528.5000000000009</v>
      </c>
      <c r="R98" s="163"/>
      <c r="S98" s="333"/>
      <c r="T98" s="496"/>
    </row>
    <row r="99" spans="1:20" ht="18">
      <c r="A99" s="494">
        <f t="shared" si="29"/>
        <v>5.0799999999999983</v>
      </c>
      <c r="B99" s="311" t="s">
        <v>252</v>
      </c>
      <c r="C99" s="37" t="s">
        <v>88</v>
      </c>
      <c r="D99" s="38">
        <v>3691</v>
      </c>
      <c r="E99" s="143">
        <v>6086</v>
      </c>
      <c r="F99" s="143">
        <v>6086</v>
      </c>
      <c r="G99" s="143">
        <v>6305</v>
      </c>
      <c r="H99" s="143">
        <v>6355</v>
      </c>
      <c r="I99" s="143">
        <v>6991</v>
      </c>
      <c r="J99" s="143">
        <f t="shared" si="30"/>
        <v>6991</v>
      </c>
      <c r="K99" s="279">
        <f t="shared" si="23"/>
        <v>6991</v>
      </c>
      <c r="L99" s="279">
        <f t="shared" si="24"/>
        <v>6991</v>
      </c>
      <c r="M99" s="279">
        <f t="shared" si="25"/>
        <v>7690.1</v>
      </c>
      <c r="N99" s="279">
        <f t="shared" si="18"/>
        <v>7690.1</v>
      </c>
      <c r="O99" s="279">
        <f t="shared" si="28"/>
        <v>7690.1</v>
      </c>
      <c r="P99" s="279">
        <f t="shared" si="21"/>
        <v>7690.1</v>
      </c>
      <c r="Q99" s="1206">
        <f t="shared" si="21"/>
        <v>7690.1</v>
      </c>
      <c r="R99" s="163"/>
      <c r="S99" s="333"/>
      <c r="T99" s="496"/>
    </row>
    <row r="100" spans="1:20" ht="18">
      <c r="A100" s="494">
        <f t="shared" si="29"/>
        <v>5.0899999999999981</v>
      </c>
      <c r="B100" s="311" t="s">
        <v>253</v>
      </c>
      <c r="C100" s="37" t="s">
        <v>88</v>
      </c>
      <c r="D100" s="38">
        <v>4840</v>
      </c>
      <c r="E100" s="143"/>
      <c r="F100" s="143"/>
      <c r="G100" s="143">
        <v>9489</v>
      </c>
      <c r="H100" s="143">
        <v>9855</v>
      </c>
      <c r="I100" s="143">
        <v>10841</v>
      </c>
      <c r="J100" s="143">
        <f t="shared" si="30"/>
        <v>10841</v>
      </c>
      <c r="K100" s="279">
        <f t="shared" si="23"/>
        <v>10841</v>
      </c>
      <c r="L100" s="279">
        <f t="shared" si="24"/>
        <v>10841</v>
      </c>
      <c r="M100" s="279">
        <f t="shared" si="25"/>
        <v>11925.1</v>
      </c>
      <c r="N100" s="279">
        <f t="shared" si="18"/>
        <v>11925.1</v>
      </c>
      <c r="O100" s="279">
        <f t="shared" si="28"/>
        <v>11925.1</v>
      </c>
      <c r="P100" s="279">
        <f t="shared" si="21"/>
        <v>11925.1</v>
      </c>
      <c r="Q100" s="1206">
        <f t="shared" si="21"/>
        <v>11925.1</v>
      </c>
      <c r="R100" s="163"/>
      <c r="S100" s="333"/>
      <c r="T100" s="496"/>
    </row>
    <row r="101" spans="1:20" ht="18">
      <c r="A101" s="494">
        <f t="shared" si="29"/>
        <v>5.0999999999999979</v>
      </c>
      <c r="B101" s="311" t="s">
        <v>254</v>
      </c>
      <c r="C101" s="37" t="s">
        <v>88</v>
      </c>
      <c r="D101" s="38">
        <v>4840</v>
      </c>
      <c r="E101" s="143"/>
      <c r="F101" s="143"/>
      <c r="G101" s="143">
        <v>12255</v>
      </c>
      <c r="H101" s="143">
        <v>12650</v>
      </c>
      <c r="I101" s="143">
        <v>13915</v>
      </c>
      <c r="J101" s="143">
        <f t="shared" si="30"/>
        <v>13915</v>
      </c>
      <c r="K101" s="279">
        <f t="shared" si="23"/>
        <v>13915</v>
      </c>
      <c r="L101" s="279">
        <f t="shared" si="24"/>
        <v>13915</v>
      </c>
      <c r="M101" s="279">
        <f t="shared" si="25"/>
        <v>15306.500000000002</v>
      </c>
      <c r="N101" s="279">
        <f t="shared" si="18"/>
        <v>15306.500000000002</v>
      </c>
      <c r="O101" s="279">
        <f t="shared" si="28"/>
        <v>15306.500000000002</v>
      </c>
      <c r="P101" s="279">
        <f t="shared" si="21"/>
        <v>15306.500000000002</v>
      </c>
      <c r="Q101" s="1206">
        <f t="shared" si="21"/>
        <v>15306.500000000002</v>
      </c>
      <c r="R101" s="163"/>
      <c r="S101" s="333"/>
      <c r="T101" s="496"/>
    </row>
    <row r="102" spans="1:20" ht="18">
      <c r="A102" s="494">
        <f t="shared" si="29"/>
        <v>5.1099999999999977</v>
      </c>
      <c r="B102" s="311" t="s">
        <v>255</v>
      </c>
      <c r="C102" s="37" t="s">
        <v>88</v>
      </c>
      <c r="D102" s="38">
        <v>4840</v>
      </c>
      <c r="E102" s="143"/>
      <c r="F102" s="143"/>
      <c r="G102" s="143">
        <v>13873</v>
      </c>
      <c r="H102" s="143">
        <v>14575</v>
      </c>
      <c r="I102" s="143">
        <v>16033</v>
      </c>
      <c r="J102" s="143">
        <f t="shared" si="30"/>
        <v>16033</v>
      </c>
      <c r="K102" s="279">
        <f t="shared" si="23"/>
        <v>16033</v>
      </c>
      <c r="L102" s="279">
        <f t="shared" si="24"/>
        <v>16033</v>
      </c>
      <c r="M102" s="279">
        <f t="shared" si="25"/>
        <v>17636.300000000003</v>
      </c>
      <c r="N102" s="279">
        <f t="shared" si="18"/>
        <v>17636.300000000003</v>
      </c>
      <c r="O102" s="279">
        <f t="shared" si="28"/>
        <v>17636.300000000003</v>
      </c>
      <c r="P102" s="279">
        <f t="shared" si="21"/>
        <v>17636.300000000003</v>
      </c>
      <c r="Q102" s="1206">
        <f t="shared" si="21"/>
        <v>17636.300000000003</v>
      </c>
      <c r="R102" s="163"/>
      <c r="S102" s="333"/>
      <c r="T102" s="496"/>
    </row>
    <row r="103" spans="1:20" ht="18">
      <c r="A103" s="494">
        <f t="shared" si="29"/>
        <v>5.1199999999999974</v>
      </c>
      <c r="B103" s="311" t="s">
        <v>256</v>
      </c>
      <c r="C103" s="37" t="s">
        <v>88</v>
      </c>
      <c r="D103" s="38"/>
      <c r="E103" s="143"/>
      <c r="F103" s="143"/>
      <c r="G103" s="143"/>
      <c r="H103" s="143">
        <v>19668</v>
      </c>
      <c r="I103" s="143">
        <v>21635</v>
      </c>
      <c r="J103" s="143">
        <f t="shared" si="30"/>
        <v>21635</v>
      </c>
      <c r="K103" s="279">
        <f t="shared" si="23"/>
        <v>21635</v>
      </c>
      <c r="L103" s="279">
        <f t="shared" si="24"/>
        <v>21635</v>
      </c>
      <c r="M103" s="279">
        <f t="shared" si="25"/>
        <v>23798.500000000004</v>
      </c>
      <c r="N103" s="279">
        <f t="shared" si="18"/>
        <v>23798.500000000004</v>
      </c>
      <c r="O103" s="279">
        <f t="shared" si="28"/>
        <v>23798.500000000004</v>
      </c>
      <c r="P103" s="279">
        <f t="shared" si="21"/>
        <v>23798.500000000004</v>
      </c>
      <c r="Q103" s="1206">
        <f t="shared" si="21"/>
        <v>23798.500000000004</v>
      </c>
      <c r="R103" s="521"/>
      <c r="S103" s="333"/>
      <c r="T103" s="496"/>
    </row>
    <row r="104" spans="1:20">
      <c r="A104" s="434">
        <v>6</v>
      </c>
      <c r="B104" s="489" t="s">
        <v>259</v>
      </c>
      <c r="C104" s="466"/>
      <c r="D104" s="461"/>
      <c r="E104" s="456"/>
      <c r="F104" s="456"/>
      <c r="G104" s="456"/>
      <c r="H104" s="456"/>
      <c r="I104" s="456"/>
      <c r="J104" s="456"/>
      <c r="K104" s="464"/>
      <c r="L104" s="464"/>
      <c r="M104" s="464"/>
      <c r="N104" s="464"/>
      <c r="O104" s="464"/>
      <c r="P104" s="464"/>
      <c r="Q104" s="1204"/>
      <c r="R104" s="522"/>
      <c r="S104" s="333"/>
      <c r="T104" s="496"/>
    </row>
    <row r="105" spans="1:20" ht="18">
      <c r="A105" s="494">
        <f>A104+0.01</f>
        <v>6.01</v>
      </c>
      <c r="B105" s="173" t="s">
        <v>260</v>
      </c>
      <c r="C105" s="37" t="s">
        <v>88</v>
      </c>
      <c r="D105" s="38">
        <v>37</v>
      </c>
      <c r="E105" s="143">
        <v>100</v>
      </c>
      <c r="F105" s="143">
        <v>70</v>
      </c>
      <c r="G105" s="143">
        <v>72</v>
      </c>
      <c r="H105" s="143">
        <v>98.280000000000015</v>
      </c>
      <c r="I105" s="279">
        <v>103</v>
      </c>
      <c r="J105" s="279">
        <f>I105</f>
        <v>103</v>
      </c>
      <c r="K105" s="279">
        <f t="shared" si="23"/>
        <v>103</v>
      </c>
      <c r="L105" s="279">
        <f t="shared" si="24"/>
        <v>103</v>
      </c>
      <c r="M105" s="279">
        <f t="shared" si="25"/>
        <v>113.30000000000001</v>
      </c>
      <c r="N105" s="279">
        <f t="shared" si="18"/>
        <v>113.30000000000001</v>
      </c>
      <c r="O105" s="279">
        <f t="shared" si="28"/>
        <v>113.30000000000001</v>
      </c>
      <c r="P105" s="279">
        <f t="shared" si="21"/>
        <v>113.30000000000001</v>
      </c>
      <c r="Q105" s="1206">
        <f t="shared" si="21"/>
        <v>113.30000000000001</v>
      </c>
      <c r="R105" s="163"/>
      <c r="S105" s="333"/>
      <c r="T105" s="496"/>
    </row>
    <row r="106" spans="1:20" ht="18">
      <c r="A106" s="494">
        <f t="shared" ref="A106:A108" si="31">A105+0.01</f>
        <v>6.02</v>
      </c>
      <c r="B106" s="173" t="s">
        <v>261</v>
      </c>
      <c r="C106" s="37" t="s">
        <v>88</v>
      </c>
      <c r="D106" s="38">
        <v>14</v>
      </c>
      <c r="E106" s="143">
        <v>25</v>
      </c>
      <c r="F106" s="143">
        <v>9</v>
      </c>
      <c r="G106" s="143">
        <v>10</v>
      </c>
      <c r="H106" s="143">
        <v>13.65</v>
      </c>
      <c r="I106" s="279">
        <v>14</v>
      </c>
      <c r="J106" s="279">
        <f t="shared" ref="J106:J108" si="32">I106</f>
        <v>14</v>
      </c>
      <c r="K106" s="279">
        <f t="shared" si="23"/>
        <v>14</v>
      </c>
      <c r="L106" s="279">
        <f t="shared" si="24"/>
        <v>14</v>
      </c>
      <c r="M106" s="279">
        <f t="shared" si="25"/>
        <v>15.400000000000002</v>
      </c>
      <c r="N106" s="279">
        <f t="shared" si="18"/>
        <v>15.400000000000002</v>
      </c>
      <c r="O106" s="279">
        <f t="shared" si="28"/>
        <v>15.400000000000002</v>
      </c>
      <c r="P106" s="279">
        <f t="shared" si="21"/>
        <v>15.400000000000002</v>
      </c>
      <c r="Q106" s="1206">
        <f t="shared" si="21"/>
        <v>15.400000000000002</v>
      </c>
      <c r="R106" s="163"/>
      <c r="S106" s="333"/>
      <c r="T106" s="496"/>
    </row>
    <row r="107" spans="1:20" ht="18">
      <c r="A107" s="494">
        <f t="shared" si="31"/>
        <v>6.0299999999999994</v>
      </c>
      <c r="B107" s="173" t="s">
        <v>262</v>
      </c>
      <c r="C107" s="37" t="s">
        <v>88</v>
      </c>
      <c r="D107" s="38">
        <v>225</v>
      </c>
      <c r="E107" s="143">
        <v>325</v>
      </c>
      <c r="F107" s="143">
        <v>325</v>
      </c>
      <c r="G107" s="143">
        <v>337</v>
      </c>
      <c r="H107" s="143">
        <v>866.25</v>
      </c>
      <c r="I107" s="279">
        <v>910</v>
      </c>
      <c r="J107" s="279">
        <f t="shared" si="32"/>
        <v>910</v>
      </c>
      <c r="K107" s="279">
        <f t="shared" si="23"/>
        <v>910</v>
      </c>
      <c r="L107" s="279">
        <f t="shared" si="24"/>
        <v>910</v>
      </c>
      <c r="M107" s="279">
        <f t="shared" si="25"/>
        <v>1001.0000000000001</v>
      </c>
      <c r="N107" s="279">
        <f t="shared" si="18"/>
        <v>1001.0000000000001</v>
      </c>
      <c r="O107" s="279">
        <f t="shared" si="28"/>
        <v>1001.0000000000001</v>
      </c>
      <c r="P107" s="279">
        <f t="shared" si="21"/>
        <v>1001.0000000000001</v>
      </c>
      <c r="Q107" s="1206">
        <f t="shared" si="21"/>
        <v>1001.0000000000001</v>
      </c>
      <c r="R107" s="163"/>
      <c r="S107" s="333"/>
      <c r="T107" s="496"/>
    </row>
    <row r="108" spans="1:20" ht="18">
      <c r="A108" s="494">
        <f t="shared" si="31"/>
        <v>6.0399999999999991</v>
      </c>
      <c r="B108" s="173" t="s">
        <v>263</v>
      </c>
      <c r="C108" s="37" t="s">
        <v>88</v>
      </c>
      <c r="D108" s="38">
        <v>120</v>
      </c>
      <c r="E108" s="143">
        <v>200</v>
      </c>
      <c r="F108" s="143">
        <v>200</v>
      </c>
      <c r="G108" s="143">
        <v>207</v>
      </c>
      <c r="H108" s="143">
        <v>282.55500000000006</v>
      </c>
      <c r="I108" s="279">
        <v>297</v>
      </c>
      <c r="J108" s="279">
        <f t="shared" si="32"/>
        <v>297</v>
      </c>
      <c r="K108" s="279">
        <f t="shared" si="23"/>
        <v>297</v>
      </c>
      <c r="L108" s="279">
        <f t="shared" si="24"/>
        <v>297</v>
      </c>
      <c r="M108" s="279">
        <f t="shared" si="25"/>
        <v>326.70000000000005</v>
      </c>
      <c r="N108" s="279">
        <f t="shared" si="18"/>
        <v>326.70000000000005</v>
      </c>
      <c r="O108" s="279">
        <f t="shared" si="28"/>
        <v>326.70000000000005</v>
      </c>
      <c r="P108" s="279">
        <f t="shared" si="21"/>
        <v>326.70000000000005</v>
      </c>
      <c r="Q108" s="1206">
        <f t="shared" si="21"/>
        <v>326.70000000000005</v>
      </c>
      <c r="R108" s="163"/>
      <c r="S108" s="333"/>
      <c r="T108" s="496"/>
    </row>
    <row r="109" spans="1:20">
      <c r="A109" s="434">
        <v>7</v>
      </c>
      <c r="B109" s="489" t="s">
        <v>264</v>
      </c>
      <c r="C109" s="466"/>
      <c r="D109" s="461"/>
      <c r="E109" s="456"/>
      <c r="F109" s="456"/>
      <c r="G109" s="456"/>
      <c r="H109" s="456"/>
      <c r="I109" s="464"/>
      <c r="J109" s="464"/>
      <c r="K109" s="464"/>
      <c r="L109" s="464"/>
      <c r="M109" s="464"/>
      <c r="N109" s="464"/>
      <c r="O109" s="464"/>
      <c r="P109" s="464"/>
      <c r="Q109" s="1204"/>
      <c r="R109" s="509"/>
      <c r="S109" s="333"/>
      <c r="T109" s="496"/>
    </row>
    <row r="110" spans="1:20" ht="18">
      <c r="A110" s="494">
        <f>A109+0.01</f>
        <v>7.01</v>
      </c>
      <c r="B110" s="523" t="s">
        <v>265</v>
      </c>
      <c r="C110" s="37" t="s">
        <v>88</v>
      </c>
      <c r="D110" s="38">
        <v>700</v>
      </c>
      <c r="E110" s="143">
        <v>1350</v>
      </c>
      <c r="F110" s="143">
        <v>1250</v>
      </c>
      <c r="G110" s="143">
        <v>1295</v>
      </c>
      <c r="H110" s="143">
        <v>1585.5</v>
      </c>
      <c r="I110" s="279">
        <v>1665</v>
      </c>
      <c r="J110" s="279">
        <f>I110</f>
        <v>1665</v>
      </c>
      <c r="K110" s="279">
        <f t="shared" si="23"/>
        <v>1665</v>
      </c>
      <c r="L110" s="279">
        <f t="shared" si="24"/>
        <v>1665</v>
      </c>
      <c r="M110" s="279">
        <f t="shared" si="25"/>
        <v>1831.5000000000002</v>
      </c>
      <c r="N110" s="279">
        <f t="shared" si="18"/>
        <v>1831.5000000000002</v>
      </c>
      <c r="O110" s="279">
        <f t="shared" si="28"/>
        <v>1831.5000000000002</v>
      </c>
      <c r="P110" s="279">
        <f t="shared" si="21"/>
        <v>1831.5000000000002</v>
      </c>
      <c r="Q110" s="1206">
        <f t="shared" si="21"/>
        <v>1831.5000000000002</v>
      </c>
      <c r="R110" s="163"/>
      <c r="S110" s="333"/>
      <c r="T110" s="496"/>
    </row>
    <row r="111" spans="1:20" ht="18">
      <c r="A111" s="494">
        <f t="shared" ref="A111:A114" si="33">A110+0.01</f>
        <v>7.02</v>
      </c>
      <c r="B111" s="72" t="s">
        <v>266</v>
      </c>
      <c r="C111" s="37" t="s">
        <v>88</v>
      </c>
      <c r="D111" s="38">
        <v>750</v>
      </c>
      <c r="E111" s="143">
        <v>1600</v>
      </c>
      <c r="F111" s="143">
        <v>1400</v>
      </c>
      <c r="G111" s="143">
        <v>1450</v>
      </c>
      <c r="H111" s="143">
        <v>2520</v>
      </c>
      <c r="I111" s="279">
        <v>2645</v>
      </c>
      <c r="J111" s="279">
        <f t="shared" ref="J111:J114" si="34">I111</f>
        <v>2645</v>
      </c>
      <c r="K111" s="279">
        <f t="shared" si="23"/>
        <v>2645</v>
      </c>
      <c r="L111" s="279">
        <f t="shared" si="24"/>
        <v>2645</v>
      </c>
      <c r="M111" s="279">
        <f t="shared" si="25"/>
        <v>2909.5000000000005</v>
      </c>
      <c r="N111" s="279">
        <f t="shared" si="18"/>
        <v>2909.5000000000005</v>
      </c>
      <c r="O111" s="279">
        <f t="shared" si="28"/>
        <v>2909.5000000000005</v>
      </c>
      <c r="P111" s="279">
        <f t="shared" si="21"/>
        <v>2909.5000000000005</v>
      </c>
      <c r="Q111" s="1206">
        <f t="shared" si="21"/>
        <v>2909.5000000000005</v>
      </c>
      <c r="R111" s="163"/>
      <c r="S111" s="333"/>
      <c r="T111" s="496"/>
    </row>
    <row r="112" spans="1:20" ht="18">
      <c r="A112" s="494">
        <f t="shared" si="33"/>
        <v>7.0299999999999994</v>
      </c>
      <c r="B112" s="72" t="s">
        <v>267</v>
      </c>
      <c r="C112" s="37" t="s">
        <v>88</v>
      </c>
      <c r="D112" s="38">
        <v>1250</v>
      </c>
      <c r="E112" s="143">
        <v>200</v>
      </c>
      <c r="F112" s="143">
        <v>1800</v>
      </c>
      <c r="G112" s="143">
        <v>1850</v>
      </c>
      <c r="H112" s="143">
        <v>3150</v>
      </c>
      <c r="I112" s="279">
        <v>3305</v>
      </c>
      <c r="J112" s="279">
        <f t="shared" si="34"/>
        <v>3305</v>
      </c>
      <c r="K112" s="279">
        <f t="shared" si="23"/>
        <v>3305</v>
      </c>
      <c r="L112" s="279">
        <f t="shared" si="24"/>
        <v>3305</v>
      </c>
      <c r="M112" s="279">
        <f t="shared" si="25"/>
        <v>3635.5000000000005</v>
      </c>
      <c r="N112" s="279">
        <f t="shared" si="18"/>
        <v>3635.5000000000005</v>
      </c>
      <c r="O112" s="279">
        <f t="shared" si="28"/>
        <v>3635.5000000000005</v>
      </c>
      <c r="P112" s="279">
        <f t="shared" si="21"/>
        <v>3635.5000000000005</v>
      </c>
      <c r="Q112" s="1206">
        <f t="shared" si="21"/>
        <v>3635.5000000000005</v>
      </c>
      <c r="R112" s="163"/>
      <c r="S112" s="333"/>
      <c r="T112" s="496"/>
    </row>
    <row r="113" spans="1:20" ht="18">
      <c r="A113" s="494">
        <f t="shared" si="33"/>
        <v>7.0399999999999991</v>
      </c>
      <c r="B113" s="72" t="s">
        <v>268</v>
      </c>
      <c r="C113" s="37" t="s">
        <v>88</v>
      </c>
      <c r="D113" s="38">
        <v>1500</v>
      </c>
      <c r="E113" s="143">
        <v>2500</v>
      </c>
      <c r="F113" s="143">
        <v>2500</v>
      </c>
      <c r="G113" s="143">
        <v>2590</v>
      </c>
      <c r="H113" s="143">
        <v>4200</v>
      </c>
      <c r="I113" s="279">
        <v>4410</v>
      </c>
      <c r="J113" s="279">
        <f t="shared" si="34"/>
        <v>4410</v>
      </c>
      <c r="K113" s="279">
        <f t="shared" si="23"/>
        <v>4410</v>
      </c>
      <c r="L113" s="279">
        <f t="shared" si="24"/>
        <v>4410</v>
      </c>
      <c r="M113" s="279">
        <f t="shared" si="25"/>
        <v>4851</v>
      </c>
      <c r="N113" s="279">
        <f t="shared" si="18"/>
        <v>4851</v>
      </c>
      <c r="O113" s="279">
        <f t="shared" si="28"/>
        <v>4851</v>
      </c>
      <c r="P113" s="279">
        <f t="shared" si="21"/>
        <v>4851</v>
      </c>
      <c r="Q113" s="1206">
        <f t="shared" si="21"/>
        <v>4851</v>
      </c>
      <c r="R113" s="163"/>
      <c r="S113" s="333"/>
      <c r="T113" s="496"/>
    </row>
    <row r="114" spans="1:20" ht="18">
      <c r="A114" s="494">
        <f t="shared" si="33"/>
        <v>7.0499999999999989</v>
      </c>
      <c r="B114" s="143" t="s">
        <v>269</v>
      </c>
      <c r="C114" s="37" t="s">
        <v>88</v>
      </c>
      <c r="D114" s="38"/>
      <c r="E114" s="143">
        <v>1000</v>
      </c>
      <c r="F114" s="143">
        <v>1000</v>
      </c>
      <c r="G114" s="143">
        <f>F114*1.1</f>
        <v>1100</v>
      </c>
      <c r="H114" s="143">
        <v>1302</v>
      </c>
      <c r="I114" s="279">
        <v>1365</v>
      </c>
      <c r="J114" s="279">
        <f t="shared" si="34"/>
        <v>1365</v>
      </c>
      <c r="K114" s="279">
        <f t="shared" si="23"/>
        <v>1365</v>
      </c>
      <c r="L114" s="279">
        <f t="shared" si="24"/>
        <v>1365</v>
      </c>
      <c r="M114" s="279">
        <f t="shared" si="25"/>
        <v>1501.5000000000002</v>
      </c>
      <c r="N114" s="279">
        <f t="shared" si="18"/>
        <v>1501.5000000000002</v>
      </c>
      <c r="O114" s="279">
        <f t="shared" si="28"/>
        <v>1501.5000000000002</v>
      </c>
      <c r="P114" s="279">
        <f t="shared" si="21"/>
        <v>1501.5000000000002</v>
      </c>
      <c r="Q114" s="1206">
        <f t="shared" si="21"/>
        <v>1501.5000000000002</v>
      </c>
      <c r="R114" s="163"/>
      <c r="S114" s="333"/>
      <c r="T114" s="496"/>
    </row>
    <row r="115" spans="1:20">
      <c r="A115" s="434">
        <v>8</v>
      </c>
      <c r="B115" s="489" t="s">
        <v>270</v>
      </c>
      <c r="C115" s="466"/>
      <c r="D115" s="461"/>
      <c r="E115" s="456"/>
      <c r="F115" s="456"/>
      <c r="G115" s="456"/>
      <c r="H115" s="456"/>
      <c r="I115" s="464"/>
      <c r="J115" s="464"/>
      <c r="K115" s="464"/>
      <c r="L115" s="464"/>
      <c r="M115" s="464"/>
      <c r="N115" s="464"/>
      <c r="O115" s="464"/>
      <c r="P115" s="464"/>
      <c r="Q115" s="1204"/>
      <c r="R115" s="509"/>
      <c r="S115" s="333"/>
      <c r="T115" s="496"/>
    </row>
    <row r="116" spans="1:20" ht="18">
      <c r="A116" s="494">
        <f>A115+0.01</f>
        <v>8.01</v>
      </c>
      <c r="B116" s="173" t="s">
        <v>271</v>
      </c>
      <c r="C116" s="37" t="s">
        <v>88</v>
      </c>
      <c r="D116" s="38">
        <v>44</v>
      </c>
      <c r="E116" s="143">
        <v>75</v>
      </c>
      <c r="F116" s="143">
        <v>80</v>
      </c>
      <c r="G116" s="143">
        <v>83</v>
      </c>
      <c r="H116" s="143">
        <v>131.25</v>
      </c>
      <c r="I116" s="279">
        <v>138</v>
      </c>
      <c r="J116" s="279">
        <f>I116</f>
        <v>138</v>
      </c>
      <c r="K116" s="279">
        <f t="shared" si="23"/>
        <v>138</v>
      </c>
      <c r="L116" s="279">
        <f t="shared" si="24"/>
        <v>138</v>
      </c>
      <c r="M116" s="279">
        <f t="shared" si="25"/>
        <v>151.80000000000001</v>
      </c>
      <c r="N116" s="279">
        <f t="shared" si="18"/>
        <v>151.80000000000001</v>
      </c>
      <c r="O116" s="279">
        <f t="shared" si="28"/>
        <v>151.80000000000001</v>
      </c>
      <c r="P116" s="279">
        <f t="shared" si="21"/>
        <v>151.80000000000001</v>
      </c>
      <c r="Q116" s="1206">
        <f t="shared" si="21"/>
        <v>151.80000000000001</v>
      </c>
      <c r="R116" s="163"/>
      <c r="S116" s="333"/>
      <c r="T116" s="496"/>
    </row>
    <row r="117" spans="1:20" ht="18">
      <c r="A117" s="494">
        <f t="shared" ref="A117:A119" si="35">A116+0.01</f>
        <v>8.02</v>
      </c>
      <c r="B117" s="173" t="s">
        <v>272</v>
      </c>
      <c r="C117" s="37" t="s">
        <v>88</v>
      </c>
      <c r="D117" s="38">
        <v>330</v>
      </c>
      <c r="E117" s="143">
        <v>450</v>
      </c>
      <c r="F117" s="143">
        <v>450</v>
      </c>
      <c r="G117" s="143">
        <v>466</v>
      </c>
      <c r="H117" s="143">
        <v>525</v>
      </c>
      <c r="I117" s="279">
        <v>551</v>
      </c>
      <c r="J117" s="279">
        <f t="shared" ref="J117:J119" si="36">I117</f>
        <v>551</v>
      </c>
      <c r="K117" s="279">
        <f t="shared" si="23"/>
        <v>551</v>
      </c>
      <c r="L117" s="279">
        <f t="shared" si="24"/>
        <v>551</v>
      </c>
      <c r="M117" s="279">
        <f t="shared" si="25"/>
        <v>606.1</v>
      </c>
      <c r="N117" s="279">
        <f t="shared" si="18"/>
        <v>606.1</v>
      </c>
      <c r="O117" s="279">
        <f t="shared" si="28"/>
        <v>606.1</v>
      </c>
      <c r="P117" s="279">
        <f t="shared" si="21"/>
        <v>606.1</v>
      </c>
      <c r="Q117" s="1206">
        <f t="shared" si="21"/>
        <v>606.1</v>
      </c>
      <c r="R117" s="163"/>
      <c r="S117" s="333"/>
      <c r="T117" s="496"/>
    </row>
    <row r="118" spans="1:20" ht="18">
      <c r="A118" s="494">
        <f t="shared" si="35"/>
        <v>8.0299999999999994</v>
      </c>
      <c r="B118" s="173" t="s">
        <v>273</v>
      </c>
      <c r="C118" s="37" t="s">
        <v>88</v>
      </c>
      <c r="D118" s="38">
        <v>95</v>
      </c>
      <c r="E118" s="143">
        <v>160</v>
      </c>
      <c r="F118" s="143">
        <v>150</v>
      </c>
      <c r="G118" s="143">
        <v>155</v>
      </c>
      <c r="H118" s="143">
        <v>178.5</v>
      </c>
      <c r="I118" s="279">
        <v>187</v>
      </c>
      <c r="J118" s="279">
        <f t="shared" si="36"/>
        <v>187</v>
      </c>
      <c r="K118" s="279">
        <f t="shared" si="23"/>
        <v>187</v>
      </c>
      <c r="L118" s="279">
        <f t="shared" si="24"/>
        <v>187</v>
      </c>
      <c r="M118" s="279">
        <f t="shared" si="25"/>
        <v>205.70000000000002</v>
      </c>
      <c r="N118" s="279">
        <f t="shared" si="18"/>
        <v>205.70000000000002</v>
      </c>
      <c r="O118" s="279">
        <f t="shared" si="28"/>
        <v>205.70000000000002</v>
      </c>
      <c r="P118" s="279">
        <f t="shared" si="21"/>
        <v>205.70000000000002</v>
      </c>
      <c r="Q118" s="1206">
        <f t="shared" si="21"/>
        <v>205.70000000000002</v>
      </c>
      <c r="R118" s="163"/>
      <c r="S118" s="333"/>
      <c r="T118" s="496"/>
    </row>
    <row r="119" spans="1:20" ht="18">
      <c r="A119" s="494">
        <f t="shared" si="35"/>
        <v>8.0399999999999991</v>
      </c>
      <c r="B119" s="173" t="s">
        <v>274</v>
      </c>
      <c r="C119" s="37" t="s">
        <v>88</v>
      </c>
      <c r="D119" s="38">
        <v>40</v>
      </c>
      <c r="E119" s="143">
        <v>100</v>
      </c>
      <c r="F119" s="143">
        <v>90</v>
      </c>
      <c r="G119" s="143">
        <v>93</v>
      </c>
      <c r="H119" s="143">
        <v>131.25</v>
      </c>
      <c r="I119" s="279">
        <v>138</v>
      </c>
      <c r="J119" s="279">
        <f t="shared" si="36"/>
        <v>138</v>
      </c>
      <c r="K119" s="279">
        <f t="shared" si="23"/>
        <v>138</v>
      </c>
      <c r="L119" s="279">
        <f t="shared" si="24"/>
        <v>138</v>
      </c>
      <c r="M119" s="279">
        <f t="shared" si="25"/>
        <v>151.80000000000001</v>
      </c>
      <c r="N119" s="279">
        <f t="shared" si="18"/>
        <v>151.80000000000001</v>
      </c>
      <c r="O119" s="279">
        <f t="shared" si="28"/>
        <v>151.80000000000001</v>
      </c>
      <c r="P119" s="279">
        <f t="shared" si="21"/>
        <v>151.80000000000001</v>
      </c>
      <c r="Q119" s="1206">
        <f t="shared" si="21"/>
        <v>151.80000000000001</v>
      </c>
      <c r="R119" s="163"/>
      <c r="S119" s="333"/>
      <c r="T119" s="496"/>
    </row>
    <row r="120" spans="1:20">
      <c r="A120" s="434">
        <v>9</v>
      </c>
      <c r="B120" s="391" t="s">
        <v>275</v>
      </c>
      <c r="C120" s="445"/>
      <c r="D120" s="389"/>
      <c r="E120" s="464"/>
      <c r="F120" s="464"/>
      <c r="G120" s="464"/>
      <c r="H120" s="464"/>
      <c r="I120" s="464"/>
      <c r="J120" s="464"/>
      <c r="K120" s="464"/>
      <c r="L120" s="464"/>
      <c r="M120" s="464"/>
      <c r="N120" s="464"/>
      <c r="O120" s="464"/>
      <c r="P120" s="464"/>
      <c r="Q120" s="1204"/>
      <c r="R120" s="509"/>
      <c r="S120" s="333"/>
      <c r="T120" s="496"/>
    </row>
    <row r="121" spans="1:20" ht="18">
      <c r="A121" s="494">
        <f>A120+0.01</f>
        <v>9.01</v>
      </c>
      <c r="B121" s="173" t="s">
        <v>276</v>
      </c>
      <c r="C121" s="37" t="s">
        <v>88</v>
      </c>
      <c r="D121" s="38">
        <v>5500</v>
      </c>
      <c r="E121" s="143">
        <v>7000</v>
      </c>
      <c r="F121" s="143">
        <v>7000</v>
      </c>
      <c r="G121" s="143">
        <v>7350</v>
      </c>
      <c r="H121" s="143">
        <v>18375</v>
      </c>
      <c r="I121" s="279">
        <v>19300</v>
      </c>
      <c r="J121" s="279">
        <f>I121</f>
        <v>19300</v>
      </c>
      <c r="K121" s="279">
        <f t="shared" si="23"/>
        <v>19300</v>
      </c>
      <c r="L121" s="279">
        <f t="shared" si="24"/>
        <v>19300</v>
      </c>
      <c r="M121" s="279">
        <f t="shared" si="25"/>
        <v>21230</v>
      </c>
      <c r="N121" s="279">
        <f t="shared" si="18"/>
        <v>21230</v>
      </c>
      <c r="O121" s="279">
        <f t="shared" si="28"/>
        <v>21230</v>
      </c>
      <c r="P121" s="279">
        <f t="shared" si="21"/>
        <v>21230</v>
      </c>
      <c r="Q121" s="1206">
        <f t="shared" si="21"/>
        <v>21230</v>
      </c>
      <c r="R121" s="163"/>
      <c r="S121" s="333"/>
      <c r="T121" s="496"/>
    </row>
    <row r="122" spans="1:20" ht="18">
      <c r="A122" s="494">
        <f t="shared" ref="A122:A123" si="37">A121+0.01</f>
        <v>9.02</v>
      </c>
      <c r="B122" s="173" t="s">
        <v>277</v>
      </c>
      <c r="C122" s="37" t="s">
        <v>88</v>
      </c>
      <c r="D122" s="38"/>
      <c r="E122" s="143"/>
      <c r="F122" s="143"/>
      <c r="G122" s="143"/>
      <c r="H122" s="143">
        <v>14385</v>
      </c>
      <c r="I122" s="279">
        <v>15100</v>
      </c>
      <c r="J122" s="279">
        <f t="shared" ref="J122:J123" si="38">I122</f>
        <v>15100</v>
      </c>
      <c r="K122" s="279">
        <f t="shared" si="23"/>
        <v>15100</v>
      </c>
      <c r="L122" s="279">
        <f t="shared" si="24"/>
        <v>15100</v>
      </c>
      <c r="M122" s="279">
        <f t="shared" si="25"/>
        <v>16610</v>
      </c>
      <c r="N122" s="279">
        <f t="shared" si="18"/>
        <v>16610</v>
      </c>
      <c r="O122" s="279">
        <f t="shared" si="28"/>
        <v>16610</v>
      </c>
      <c r="P122" s="279">
        <f t="shared" si="21"/>
        <v>16610</v>
      </c>
      <c r="Q122" s="1206">
        <f t="shared" si="21"/>
        <v>16610</v>
      </c>
      <c r="R122" s="163"/>
      <c r="S122" s="333"/>
      <c r="T122" s="496"/>
    </row>
    <row r="123" spans="1:20" ht="18">
      <c r="A123" s="494">
        <f t="shared" si="37"/>
        <v>9.0299999999999994</v>
      </c>
      <c r="B123" s="173" t="s">
        <v>278</v>
      </c>
      <c r="C123" s="37" t="s">
        <v>73</v>
      </c>
      <c r="D123" s="38">
        <v>5</v>
      </c>
      <c r="E123" s="143">
        <v>8</v>
      </c>
      <c r="F123" s="143">
        <v>7</v>
      </c>
      <c r="G123" s="143">
        <v>8</v>
      </c>
      <c r="H123" s="143">
        <v>10.5</v>
      </c>
      <c r="I123" s="279">
        <v>11</v>
      </c>
      <c r="J123" s="279">
        <f t="shared" si="38"/>
        <v>11</v>
      </c>
      <c r="K123" s="279">
        <f t="shared" si="23"/>
        <v>11</v>
      </c>
      <c r="L123" s="279">
        <f t="shared" si="24"/>
        <v>11</v>
      </c>
      <c r="M123" s="279">
        <f t="shared" si="25"/>
        <v>12.100000000000001</v>
      </c>
      <c r="N123" s="279">
        <f t="shared" si="18"/>
        <v>12.100000000000001</v>
      </c>
      <c r="O123" s="279">
        <f t="shared" si="28"/>
        <v>12.100000000000001</v>
      </c>
      <c r="P123" s="279">
        <f t="shared" si="21"/>
        <v>12.100000000000001</v>
      </c>
      <c r="Q123" s="1206">
        <f t="shared" si="21"/>
        <v>12.100000000000001</v>
      </c>
      <c r="R123" s="163"/>
      <c r="S123" s="333"/>
      <c r="T123" s="496"/>
    </row>
    <row r="124" spans="1:20">
      <c r="A124" s="434">
        <v>10</v>
      </c>
      <c r="B124" s="524" t="s">
        <v>279</v>
      </c>
      <c r="C124" s="466"/>
      <c r="D124" s="461"/>
      <c r="E124" s="456"/>
      <c r="F124" s="456"/>
      <c r="G124" s="456"/>
      <c r="H124" s="456"/>
      <c r="I124" s="464"/>
      <c r="J124" s="464"/>
      <c r="K124" s="464"/>
      <c r="L124" s="464"/>
      <c r="M124" s="464"/>
      <c r="N124" s="464"/>
      <c r="O124" s="464"/>
      <c r="P124" s="464"/>
      <c r="Q124" s="1204"/>
      <c r="R124" s="509"/>
      <c r="S124" s="333"/>
      <c r="T124" s="496"/>
    </row>
    <row r="125" spans="1:20" ht="18">
      <c r="A125" s="494">
        <f>A124+0.01</f>
        <v>10.01</v>
      </c>
      <c r="B125" s="311" t="s">
        <v>280</v>
      </c>
      <c r="C125" s="37" t="s">
        <v>88</v>
      </c>
      <c r="D125" s="38">
        <v>14</v>
      </c>
      <c r="E125" s="143">
        <v>20</v>
      </c>
      <c r="F125" s="143">
        <v>20</v>
      </c>
      <c r="G125" s="143">
        <v>21</v>
      </c>
      <c r="H125" s="143">
        <v>28.35</v>
      </c>
      <c r="I125" s="279">
        <v>30</v>
      </c>
      <c r="J125" s="279">
        <f>I125</f>
        <v>30</v>
      </c>
      <c r="K125" s="279">
        <f t="shared" si="23"/>
        <v>30</v>
      </c>
      <c r="L125" s="279">
        <f t="shared" si="24"/>
        <v>30</v>
      </c>
      <c r="M125" s="279">
        <f t="shared" si="25"/>
        <v>33</v>
      </c>
      <c r="N125" s="279">
        <f t="shared" si="18"/>
        <v>33</v>
      </c>
      <c r="O125" s="279">
        <f t="shared" si="28"/>
        <v>33</v>
      </c>
      <c r="P125" s="279">
        <f t="shared" si="21"/>
        <v>33</v>
      </c>
      <c r="Q125" s="1206">
        <f t="shared" si="21"/>
        <v>33</v>
      </c>
      <c r="R125" s="163"/>
      <c r="S125" s="333"/>
      <c r="T125" s="496"/>
    </row>
    <row r="126" spans="1:20" ht="18">
      <c r="A126" s="494">
        <f t="shared" ref="A126:A128" si="39">A125+0.01</f>
        <v>10.02</v>
      </c>
      <c r="B126" s="311" t="s">
        <v>281</v>
      </c>
      <c r="C126" s="37" t="s">
        <v>88</v>
      </c>
      <c r="D126" s="38">
        <v>23</v>
      </c>
      <c r="E126" s="143">
        <v>29</v>
      </c>
      <c r="F126" s="143">
        <v>20</v>
      </c>
      <c r="G126" s="143">
        <v>21</v>
      </c>
      <c r="H126" s="143">
        <v>28.35</v>
      </c>
      <c r="I126" s="279">
        <v>30</v>
      </c>
      <c r="J126" s="279">
        <f t="shared" ref="J126:J134" si="40">I126</f>
        <v>30</v>
      </c>
      <c r="K126" s="279">
        <f t="shared" si="23"/>
        <v>30</v>
      </c>
      <c r="L126" s="279">
        <f t="shared" si="24"/>
        <v>30</v>
      </c>
      <c r="M126" s="279">
        <f t="shared" si="25"/>
        <v>33</v>
      </c>
      <c r="N126" s="279">
        <f t="shared" si="18"/>
        <v>33</v>
      </c>
      <c r="O126" s="279">
        <f t="shared" si="28"/>
        <v>33</v>
      </c>
      <c r="P126" s="279">
        <f t="shared" si="21"/>
        <v>33</v>
      </c>
      <c r="Q126" s="1206">
        <f t="shared" si="21"/>
        <v>33</v>
      </c>
      <c r="R126" s="163"/>
      <c r="S126" s="333"/>
      <c r="T126" s="496"/>
    </row>
    <row r="127" spans="1:20" ht="18">
      <c r="A127" s="494">
        <f t="shared" si="39"/>
        <v>10.029999999999999</v>
      </c>
      <c r="B127" s="311" t="s">
        <v>282</v>
      </c>
      <c r="C127" s="37" t="s">
        <v>88</v>
      </c>
      <c r="D127" s="38">
        <v>65</v>
      </c>
      <c r="E127" s="143">
        <v>70</v>
      </c>
      <c r="F127" s="143">
        <v>40</v>
      </c>
      <c r="G127" s="143">
        <v>41</v>
      </c>
      <c r="H127" s="143">
        <v>57.75</v>
      </c>
      <c r="I127" s="279">
        <v>61</v>
      </c>
      <c r="J127" s="279">
        <f t="shared" si="40"/>
        <v>61</v>
      </c>
      <c r="K127" s="279">
        <f t="shared" si="23"/>
        <v>61</v>
      </c>
      <c r="L127" s="279">
        <f t="shared" si="24"/>
        <v>61</v>
      </c>
      <c r="M127" s="279">
        <f t="shared" si="25"/>
        <v>67.100000000000009</v>
      </c>
      <c r="N127" s="279">
        <f t="shared" ref="N127:N192" si="41">M127</f>
        <v>67.100000000000009</v>
      </c>
      <c r="O127" s="279">
        <f t="shared" si="28"/>
        <v>67.100000000000009</v>
      </c>
      <c r="P127" s="279">
        <f t="shared" si="21"/>
        <v>67.100000000000009</v>
      </c>
      <c r="Q127" s="1206">
        <f t="shared" si="21"/>
        <v>67.100000000000009</v>
      </c>
      <c r="R127" s="163"/>
      <c r="S127" s="333"/>
      <c r="T127" s="496"/>
    </row>
    <row r="128" spans="1:20" ht="18">
      <c r="A128" s="494">
        <f t="shared" si="39"/>
        <v>10.039999999999999</v>
      </c>
      <c r="B128" s="311" t="s">
        <v>283</v>
      </c>
      <c r="C128" s="37" t="s">
        <v>88</v>
      </c>
      <c r="D128" s="38">
        <v>85</v>
      </c>
      <c r="E128" s="143">
        <v>90</v>
      </c>
      <c r="F128" s="143">
        <v>70</v>
      </c>
      <c r="G128" s="143">
        <v>73</v>
      </c>
      <c r="H128" s="143">
        <v>94.5</v>
      </c>
      <c r="I128" s="279">
        <v>99</v>
      </c>
      <c r="J128" s="279">
        <f t="shared" si="40"/>
        <v>99</v>
      </c>
      <c r="K128" s="279">
        <f t="shared" si="23"/>
        <v>99</v>
      </c>
      <c r="L128" s="279">
        <f t="shared" si="24"/>
        <v>99</v>
      </c>
      <c r="M128" s="279">
        <f t="shared" si="25"/>
        <v>108.9</v>
      </c>
      <c r="N128" s="279">
        <f t="shared" si="41"/>
        <v>108.9</v>
      </c>
      <c r="O128" s="279">
        <f t="shared" si="28"/>
        <v>108.9</v>
      </c>
      <c r="P128" s="279">
        <f t="shared" si="21"/>
        <v>108.9</v>
      </c>
      <c r="Q128" s="1206">
        <f t="shared" si="21"/>
        <v>108.9</v>
      </c>
      <c r="R128" s="163"/>
      <c r="S128" s="333"/>
      <c r="T128" s="496"/>
    </row>
    <row r="129" spans="1:20">
      <c r="A129" s="525">
        <v>11</v>
      </c>
      <c r="B129" s="144" t="s">
        <v>284</v>
      </c>
      <c r="C129" s="37" t="s">
        <v>88</v>
      </c>
      <c r="D129" s="38">
        <v>860</v>
      </c>
      <c r="E129" s="143">
        <v>900</v>
      </c>
      <c r="F129" s="143">
        <v>900</v>
      </c>
      <c r="G129" s="143">
        <v>945</v>
      </c>
      <c r="H129" s="143">
        <v>1155</v>
      </c>
      <c r="I129" s="279">
        <v>1213</v>
      </c>
      <c r="J129" s="279">
        <f t="shared" si="40"/>
        <v>1213</v>
      </c>
      <c r="K129" s="279">
        <f t="shared" si="23"/>
        <v>1213</v>
      </c>
      <c r="L129" s="279">
        <f t="shared" si="24"/>
        <v>1213</v>
      </c>
      <c r="M129" s="279">
        <f t="shared" si="25"/>
        <v>1334.3000000000002</v>
      </c>
      <c r="N129" s="279">
        <f t="shared" si="41"/>
        <v>1334.3000000000002</v>
      </c>
      <c r="O129" s="279">
        <f t="shared" si="28"/>
        <v>1334.3000000000002</v>
      </c>
      <c r="P129" s="279">
        <f t="shared" si="21"/>
        <v>1334.3000000000002</v>
      </c>
      <c r="Q129" s="1206">
        <f t="shared" si="21"/>
        <v>1334.3000000000002</v>
      </c>
      <c r="R129" s="163"/>
      <c r="S129" s="333"/>
      <c r="T129" s="496"/>
    </row>
    <row r="130" spans="1:20">
      <c r="A130" s="526">
        <v>12</v>
      </c>
      <c r="B130" s="144" t="s">
        <v>285</v>
      </c>
      <c r="C130" s="37" t="s">
        <v>88</v>
      </c>
      <c r="D130" s="38">
        <v>550</v>
      </c>
      <c r="E130" s="143">
        <v>600</v>
      </c>
      <c r="F130" s="143">
        <v>600</v>
      </c>
      <c r="G130" s="143">
        <v>630</v>
      </c>
      <c r="H130" s="143">
        <v>787.5</v>
      </c>
      <c r="I130" s="279">
        <v>827</v>
      </c>
      <c r="J130" s="279">
        <f t="shared" si="40"/>
        <v>827</v>
      </c>
      <c r="K130" s="279">
        <f t="shared" si="23"/>
        <v>827</v>
      </c>
      <c r="L130" s="279">
        <f t="shared" si="24"/>
        <v>827</v>
      </c>
      <c r="M130" s="279">
        <f t="shared" si="25"/>
        <v>909.7</v>
      </c>
      <c r="N130" s="279">
        <f t="shared" si="41"/>
        <v>909.7</v>
      </c>
      <c r="O130" s="279">
        <f t="shared" si="28"/>
        <v>909.7</v>
      </c>
      <c r="P130" s="279">
        <f t="shared" si="21"/>
        <v>909.7</v>
      </c>
      <c r="Q130" s="1206">
        <f t="shared" si="21"/>
        <v>909.7</v>
      </c>
      <c r="R130" s="163"/>
      <c r="S130" s="333"/>
      <c r="T130" s="496"/>
    </row>
    <row r="131" spans="1:20" ht="15" customHeight="1">
      <c r="A131" s="525">
        <v>13</v>
      </c>
      <c r="B131" s="173" t="s">
        <v>286</v>
      </c>
      <c r="C131" s="37" t="s">
        <v>88</v>
      </c>
      <c r="D131" s="38">
        <v>150</v>
      </c>
      <c r="E131" s="143">
        <v>287</v>
      </c>
      <c r="F131" s="143">
        <v>287</v>
      </c>
      <c r="G131" s="143">
        <v>297</v>
      </c>
      <c r="H131" s="143">
        <v>393.75</v>
      </c>
      <c r="I131" s="279">
        <v>413</v>
      </c>
      <c r="J131" s="279">
        <f t="shared" si="40"/>
        <v>413</v>
      </c>
      <c r="K131" s="279">
        <f t="shared" si="23"/>
        <v>413</v>
      </c>
      <c r="L131" s="279">
        <f t="shared" si="24"/>
        <v>413</v>
      </c>
      <c r="M131" s="279">
        <f t="shared" si="25"/>
        <v>454.3</v>
      </c>
      <c r="N131" s="279">
        <f t="shared" si="41"/>
        <v>454.3</v>
      </c>
      <c r="O131" s="279">
        <f t="shared" si="28"/>
        <v>454.3</v>
      </c>
      <c r="P131" s="279">
        <f t="shared" si="21"/>
        <v>454.3</v>
      </c>
      <c r="Q131" s="1206">
        <f t="shared" si="21"/>
        <v>454.3</v>
      </c>
      <c r="R131" s="163"/>
      <c r="S131" s="333"/>
      <c r="T131" s="496"/>
    </row>
    <row r="132" spans="1:20" ht="15" customHeight="1">
      <c r="A132" s="526">
        <v>14</v>
      </c>
      <c r="B132" s="173" t="s">
        <v>287</v>
      </c>
      <c r="C132" s="37" t="s">
        <v>88</v>
      </c>
      <c r="D132" s="38">
        <v>250</v>
      </c>
      <c r="E132" s="143">
        <v>265</v>
      </c>
      <c r="F132" s="143">
        <v>265</v>
      </c>
      <c r="G132" s="143">
        <v>275</v>
      </c>
      <c r="H132" s="143">
        <v>336</v>
      </c>
      <c r="I132" s="279">
        <v>353</v>
      </c>
      <c r="J132" s="279">
        <f t="shared" si="40"/>
        <v>353</v>
      </c>
      <c r="K132" s="279">
        <f t="shared" si="23"/>
        <v>353</v>
      </c>
      <c r="L132" s="279">
        <f t="shared" si="24"/>
        <v>353</v>
      </c>
      <c r="M132" s="279">
        <f t="shared" si="25"/>
        <v>388.3</v>
      </c>
      <c r="N132" s="279">
        <f t="shared" si="41"/>
        <v>388.3</v>
      </c>
      <c r="O132" s="279">
        <f t="shared" si="28"/>
        <v>388.3</v>
      </c>
      <c r="P132" s="279">
        <f t="shared" si="21"/>
        <v>388.3</v>
      </c>
      <c r="Q132" s="1206">
        <f t="shared" si="21"/>
        <v>388.3</v>
      </c>
      <c r="R132" s="163"/>
      <c r="S132" s="333"/>
      <c r="T132" s="496"/>
    </row>
    <row r="133" spans="1:20" ht="30">
      <c r="A133" s="525">
        <v>15</v>
      </c>
      <c r="B133" s="144" t="s">
        <v>288</v>
      </c>
      <c r="C133" s="37" t="s">
        <v>88</v>
      </c>
      <c r="D133" s="38">
        <v>400</v>
      </c>
      <c r="E133" s="143">
        <v>440</v>
      </c>
      <c r="F133" s="143">
        <v>440</v>
      </c>
      <c r="G133" s="143">
        <v>485</v>
      </c>
      <c r="H133" s="143">
        <v>630</v>
      </c>
      <c r="I133" s="279">
        <v>662</v>
      </c>
      <c r="J133" s="279">
        <f t="shared" si="40"/>
        <v>662</v>
      </c>
      <c r="K133" s="279">
        <f t="shared" si="23"/>
        <v>662</v>
      </c>
      <c r="L133" s="279">
        <f t="shared" si="24"/>
        <v>662</v>
      </c>
      <c r="M133" s="279">
        <f t="shared" si="25"/>
        <v>728.2</v>
      </c>
      <c r="N133" s="279">
        <f t="shared" si="41"/>
        <v>728.2</v>
      </c>
      <c r="O133" s="279">
        <f t="shared" si="28"/>
        <v>728.2</v>
      </c>
      <c r="P133" s="279">
        <f t="shared" si="21"/>
        <v>728.2</v>
      </c>
      <c r="Q133" s="1206">
        <f t="shared" si="21"/>
        <v>728.2</v>
      </c>
      <c r="R133" s="163"/>
      <c r="S133" s="333"/>
      <c r="T133" s="496"/>
    </row>
    <row r="134" spans="1:20" ht="30">
      <c r="A134" s="526">
        <v>16</v>
      </c>
      <c r="B134" s="144" t="s">
        <v>289</v>
      </c>
      <c r="C134" s="37" t="s">
        <v>88</v>
      </c>
      <c r="D134" s="38"/>
      <c r="E134" s="143">
        <v>700</v>
      </c>
      <c r="F134" s="143">
        <v>700</v>
      </c>
      <c r="G134" s="143">
        <v>770</v>
      </c>
      <c r="H134" s="143">
        <v>970.2</v>
      </c>
      <c r="I134" s="279">
        <v>1019</v>
      </c>
      <c r="J134" s="279">
        <f t="shared" si="40"/>
        <v>1019</v>
      </c>
      <c r="K134" s="279">
        <f t="shared" si="23"/>
        <v>1019</v>
      </c>
      <c r="L134" s="279">
        <f t="shared" si="24"/>
        <v>1019</v>
      </c>
      <c r="M134" s="279">
        <f t="shared" si="25"/>
        <v>1120.9000000000001</v>
      </c>
      <c r="N134" s="279">
        <f t="shared" si="41"/>
        <v>1120.9000000000001</v>
      </c>
      <c r="O134" s="279">
        <f t="shared" si="28"/>
        <v>1120.9000000000001</v>
      </c>
      <c r="P134" s="279">
        <f t="shared" si="21"/>
        <v>1120.9000000000001</v>
      </c>
      <c r="Q134" s="1206">
        <f t="shared" si="21"/>
        <v>1120.9000000000001</v>
      </c>
      <c r="R134" s="163"/>
      <c r="S134" s="333"/>
      <c r="T134" s="496"/>
    </row>
    <row r="135" spans="1:20" ht="15" customHeight="1">
      <c r="A135" s="434">
        <v>17</v>
      </c>
      <c r="B135" s="524" t="s">
        <v>290</v>
      </c>
      <c r="C135" s="445"/>
      <c r="D135" s="389"/>
      <c r="E135" s="1623" t="s">
        <v>291</v>
      </c>
      <c r="F135" s="1623"/>
      <c r="G135" s="1623"/>
      <c r="H135" s="682"/>
      <c r="I135" s="682"/>
      <c r="J135" s="682"/>
      <c r="K135" s="464"/>
      <c r="L135" s="464"/>
      <c r="M135" s="464"/>
      <c r="N135" s="464"/>
      <c r="O135" s="464"/>
      <c r="P135" s="464"/>
      <c r="Q135" s="1204"/>
      <c r="R135" s="509"/>
      <c r="S135" s="333"/>
      <c r="T135" s="496"/>
    </row>
    <row r="136" spans="1:20" ht="15" customHeight="1">
      <c r="A136" s="433" t="s">
        <v>292</v>
      </c>
      <c r="B136" s="527" t="s">
        <v>2144</v>
      </c>
      <c r="C136" s="339"/>
      <c r="D136" s="528"/>
      <c r="E136" s="683"/>
      <c r="F136" s="683"/>
      <c r="G136" s="683"/>
      <c r="H136" s="683"/>
      <c r="I136" s="684"/>
      <c r="J136" s="684"/>
      <c r="K136" s="293"/>
      <c r="L136" s="293"/>
      <c r="M136" s="293"/>
      <c r="N136" s="293"/>
      <c r="O136" s="293"/>
      <c r="P136" s="293"/>
      <c r="Q136" s="1211"/>
      <c r="R136" s="529"/>
      <c r="S136" s="333"/>
      <c r="T136" s="496"/>
    </row>
    <row r="137" spans="1:20" ht="15" customHeight="1">
      <c r="A137" s="189"/>
      <c r="B137" s="144" t="s">
        <v>293</v>
      </c>
      <c r="C137" s="37" t="s">
        <v>294</v>
      </c>
      <c r="D137" s="38"/>
      <c r="E137" s="685"/>
      <c r="F137" s="685"/>
      <c r="G137" s="685"/>
      <c r="H137" s="686">
        <v>94</v>
      </c>
      <c r="I137" s="686">
        <v>54</v>
      </c>
      <c r="J137" s="686">
        <f>I137</f>
        <v>54</v>
      </c>
      <c r="K137" s="279">
        <f t="shared" ref="K137:K202" si="42">J137</f>
        <v>54</v>
      </c>
      <c r="L137" s="279">
        <f t="shared" ref="L137:L202" si="43">K137</f>
        <v>54</v>
      </c>
      <c r="M137" s="279">
        <f t="shared" ref="M137:M202" si="44">L137*1.1</f>
        <v>59.400000000000006</v>
      </c>
      <c r="N137" s="279">
        <f t="shared" si="41"/>
        <v>59.400000000000006</v>
      </c>
      <c r="O137" s="279">
        <f t="shared" si="28"/>
        <v>59.400000000000006</v>
      </c>
      <c r="P137" s="279">
        <f t="shared" ref="P137:Q200" si="45">O137</f>
        <v>59.400000000000006</v>
      </c>
      <c r="Q137" s="1206">
        <f t="shared" si="45"/>
        <v>59.400000000000006</v>
      </c>
      <c r="R137" s="163"/>
      <c r="S137" s="333"/>
      <c r="T137" s="496"/>
    </row>
    <row r="138" spans="1:20" ht="15" customHeight="1">
      <c r="A138" s="189"/>
      <c r="B138" s="144" t="s">
        <v>162</v>
      </c>
      <c r="C138" s="37" t="s">
        <v>294</v>
      </c>
      <c r="D138" s="38"/>
      <c r="E138" s="685"/>
      <c r="F138" s="685"/>
      <c r="G138" s="685"/>
      <c r="H138" s="686">
        <v>144</v>
      </c>
      <c r="I138" s="686">
        <v>82</v>
      </c>
      <c r="J138" s="686">
        <f t="shared" ref="J138:J145" si="46">I138</f>
        <v>82</v>
      </c>
      <c r="K138" s="279">
        <f t="shared" si="42"/>
        <v>82</v>
      </c>
      <c r="L138" s="279">
        <f t="shared" si="43"/>
        <v>82</v>
      </c>
      <c r="M138" s="279">
        <f t="shared" si="44"/>
        <v>90.2</v>
      </c>
      <c r="N138" s="279">
        <f t="shared" si="41"/>
        <v>90.2</v>
      </c>
      <c r="O138" s="279">
        <f t="shared" si="28"/>
        <v>90.2</v>
      </c>
      <c r="P138" s="279">
        <f t="shared" si="45"/>
        <v>90.2</v>
      </c>
      <c r="Q138" s="1206">
        <f t="shared" si="45"/>
        <v>90.2</v>
      </c>
      <c r="R138" s="163"/>
      <c r="S138" s="333"/>
      <c r="T138" s="496"/>
    </row>
    <row r="139" spans="1:20" ht="15" customHeight="1">
      <c r="A139" s="189"/>
      <c r="B139" s="144" t="s">
        <v>295</v>
      </c>
      <c r="C139" s="37" t="s">
        <v>294</v>
      </c>
      <c r="D139" s="38"/>
      <c r="E139" s="685"/>
      <c r="F139" s="685"/>
      <c r="G139" s="685"/>
      <c r="H139" s="686">
        <v>230</v>
      </c>
      <c r="I139" s="686">
        <v>131</v>
      </c>
      <c r="J139" s="686">
        <f t="shared" si="46"/>
        <v>131</v>
      </c>
      <c r="K139" s="279">
        <f t="shared" si="42"/>
        <v>131</v>
      </c>
      <c r="L139" s="279">
        <f t="shared" si="43"/>
        <v>131</v>
      </c>
      <c r="M139" s="279">
        <f t="shared" si="44"/>
        <v>144.10000000000002</v>
      </c>
      <c r="N139" s="279">
        <f t="shared" si="41"/>
        <v>144.10000000000002</v>
      </c>
      <c r="O139" s="279">
        <f t="shared" si="28"/>
        <v>144.10000000000002</v>
      </c>
      <c r="P139" s="279">
        <f t="shared" si="45"/>
        <v>144.10000000000002</v>
      </c>
      <c r="Q139" s="1206">
        <f t="shared" si="45"/>
        <v>144.10000000000002</v>
      </c>
      <c r="R139" s="163"/>
      <c r="S139" s="333"/>
      <c r="T139" s="496"/>
    </row>
    <row r="140" spans="1:20" ht="15" customHeight="1">
      <c r="A140" s="189"/>
      <c r="B140" s="144" t="s">
        <v>296</v>
      </c>
      <c r="C140" s="37" t="s">
        <v>294</v>
      </c>
      <c r="D140" s="38"/>
      <c r="E140" s="685"/>
      <c r="F140" s="685"/>
      <c r="G140" s="685"/>
      <c r="H140" s="686">
        <v>362</v>
      </c>
      <c r="I140" s="686">
        <v>207</v>
      </c>
      <c r="J140" s="686">
        <f t="shared" si="46"/>
        <v>207</v>
      </c>
      <c r="K140" s="279">
        <f t="shared" si="42"/>
        <v>207</v>
      </c>
      <c r="L140" s="279">
        <f t="shared" si="43"/>
        <v>207</v>
      </c>
      <c r="M140" s="279">
        <f t="shared" si="44"/>
        <v>227.70000000000002</v>
      </c>
      <c r="N140" s="279">
        <f t="shared" si="41"/>
        <v>227.70000000000002</v>
      </c>
      <c r="O140" s="279">
        <f t="shared" si="28"/>
        <v>227.70000000000002</v>
      </c>
      <c r="P140" s="279">
        <f t="shared" si="45"/>
        <v>227.70000000000002</v>
      </c>
      <c r="Q140" s="1206">
        <f t="shared" si="45"/>
        <v>227.70000000000002</v>
      </c>
      <c r="R140" s="163"/>
      <c r="S140" s="333"/>
      <c r="T140" s="496"/>
    </row>
    <row r="141" spans="1:20" ht="15" customHeight="1">
      <c r="A141" s="189"/>
      <c r="B141" s="144" t="s">
        <v>297</v>
      </c>
      <c r="C141" s="37" t="s">
        <v>294</v>
      </c>
      <c r="D141" s="38"/>
      <c r="E141" s="685"/>
      <c r="F141" s="685"/>
      <c r="G141" s="685"/>
      <c r="H141" s="686">
        <v>562</v>
      </c>
      <c r="I141" s="686">
        <v>321</v>
      </c>
      <c r="J141" s="686">
        <f t="shared" si="46"/>
        <v>321</v>
      </c>
      <c r="K141" s="279">
        <f t="shared" si="42"/>
        <v>321</v>
      </c>
      <c r="L141" s="279">
        <f t="shared" si="43"/>
        <v>321</v>
      </c>
      <c r="M141" s="279">
        <f t="shared" si="44"/>
        <v>353.1</v>
      </c>
      <c r="N141" s="279">
        <f t="shared" si="41"/>
        <v>353.1</v>
      </c>
      <c r="O141" s="279">
        <f t="shared" si="28"/>
        <v>353.1</v>
      </c>
      <c r="P141" s="279">
        <f t="shared" si="45"/>
        <v>353.1</v>
      </c>
      <c r="Q141" s="1206">
        <f t="shared" si="45"/>
        <v>353.1</v>
      </c>
      <c r="R141" s="163"/>
      <c r="S141" s="333"/>
      <c r="T141" s="496"/>
    </row>
    <row r="142" spans="1:20" ht="15" customHeight="1">
      <c r="A142" s="189"/>
      <c r="B142" s="144" t="s">
        <v>298</v>
      </c>
      <c r="C142" s="37" t="s">
        <v>294</v>
      </c>
      <c r="D142" s="38"/>
      <c r="E142" s="685"/>
      <c r="F142" s="685"/>
      <c r="G142" s="685"/>
      <c r="H142" s="686">
        <v>890</v>
      </c>
      <c r="I142" s="686">
        <v>503</v>
      </c>
      <c r="J142" s="686">
        <f t="shared" si="46"/>
        <v>503</v>
      </c>
      <c r="K142" s="279">
        <f t="shared" si="42"/>
        <v>503</v>
      </c>
      <c r="L142" s="279">
        <f t="shared" si="43"/>
        <v>503</v>
      </c>
      <c r="M142" s="279">
        <f t="shared" si="44"/>
        <v>553.30000000000007</v>
      </c>
      <c r="N142" s="279">
        <f t="shared" si="41"/>
        <v>553.30000000000007</v>
      </c>
      <c r="O142" s="279">
        <f t="shared" si="28"/>
        <v>553.30000000000007</v>
      </c>
      <c r="P142" s="279">
        <f t="shared" si="45"/>
        <v>553.30000000000007</v>
      </c>
      <c r="Q142" s="1206">
        <f t="shared" si="45"/>
        <v>553.30000000000007</v>
      </c>
      <c r="R142" s="163"/>
      <c r="S142" s="333"/>
      <c r="T142" s="496"/>
    </row>
    <row r="143" spans="1:20" ht="15" customHeight="1">
      <c r="A143" s="189"/>
      <c r="B143" s="144" t="s">
        <v>299</v>
      </c>
      <c r="C143" s="37" t="s">
        <v>294</v>
      </c>
      <c r="D143" s="38"/>
      <c r="E143" s="685"/>
      <c r="F143" s="685"/>
      <c r="G143" s="685"/>
      <c r="H143" s="686">
        <v>1242</v>
      </c>
      <c r="I143" s="686">
        <v>709</v>
      </c>
      <c r="J143" s="686">
        <f t="shared" si="46"/>
        <v>709</v>
      </c>
      <c r="K143" s="279">
        <f t="shared" si="42"/>
        <v>709</v>
      </c>
      <c r="L143" s="279">
        <f t="shared" si="43"/>
        <v>709</v>
      </c>
      <c r="M143" s="279">
        <f t="shared" si="44"/>
        <v>779.90000000000009</v>
      </c>
      <c r="N143" s="279">
        <f t="shared" si="41"/>
        <v>779.90000000000009</v>
      </c>
      <c r="O143" s="279">
        <f t="shared" si="28"/>
        <v>779.90000000000009</v>
      </c>
      <c r="P143" s="279">
        <f t="shared" si="45"/>
        <v>779.90000000000009</v>
      </c>
      <c r="Q143" s="1206">
        <f t="shared" si="45"/>
        <v>779.90000000000009</v>
      </c>
      <c r="R143" s="163"/>
      <c r="S143" s="333"/>
      <c r="T143" s="496"/>
    </row>
    <row r="144" spans="1:20" ht="15" customHeight="1">
      <c r="A144" s="189"/>
      <c r="B144" s="144" t="s">
        <v>300</v>
      </c>
      <c r="C144" s="37" t="s">
        <v>294</v>
      </c>
      <c r="D144" s="38"/>
      <c r="E144" s="685"/>
      <c r="F144" s="685"/>
      <c r="G144" s="685"/>
      <c r="H144" s="686">
        <v>1789</v>
      </c>
      <c r="I144" s="686">
        <v>1021</v>
      </c>
      <c r="J144" s="686">
        <f t="shared" si="46"/>
        <v>1021</v>
      </c>
      <c r="K144" s="279">
        <f t="shared" si="42"/>
        <v>1021</v>
      </c>
      <c r="L144" s="279">
        <f t="shared" si="43"/>
        <v>1021</v>
      </c>
      <c r="M144" s="279">
        <f t="shared" si="44"/>
        <v>1123.1000000000001</v>
      </c>
      <c r="N144" s="279">
        <f t="shared" si="41"/>
        <v>1123.1000000000001</v>
      </c>
      <c r="O144" s="279">
        <f t="shared" si="28"/>
        <v>1123.1000000000001</v>
      </c>
      <c r="P144" s="279">
        <f t="shared" si="45"/>
        <v>1123.1000000000001</v>
      </c>
      <c r="Q144" s="1206">
        <f t="shared" si="45"/>
        <v>1123.1000000000001</v>
      </c>
      <c r="R144" s="163"/>
      <c r="S144" s="333"/>
      <c r="T144" s="496"/>
    </row>
    <row r="145" spans="1:20" ht="15" customHeight="1">
      <c r="A145" s="189"/>
      <c r="B145" s="144" t="s">
        <v>301</v>
      </c>
      <c r="C145" s="37" t="s">
        <v>294</v>
      </c>
      <c r="D145" s="38"/>
      <c r="E145" s="685"/>
      <c r="F145" s="685"/>
      <c r="G145" s="685"/>
      <c r="H145" s="686">
        <v>2653</v>
      </c>
      <c r="I145" s="686">
        <v>1514</v>
      </c>
      <c r="J145" s="686">
        <f t="shared" si="46"/>
        <v>1514</v>
      </c>
      <c r="K145" s="279">
        <f t="shared" si="42"/>
        <v>1514</v>
      </c>
      <c r="L145" s="279">
        <f t="shared" si="43"/>
        <v>1514</v>
      </c>
      <c r="M145" s="279">
        <f t="shared" si="44"/>
        <v>1665.4</v>
      </c>
      <c r="N145" s="279">
        <f t="shared" si="41"/>
        <v>1665.4</v>
      </c>
      <c r="O145" s="279">
        <f t="shared" si="28"/>
        <v>1665.4</v>
      </c>
      <c r="P145" s="279">
        <f t="shared" si="45"/>
        <v>1665.4</v>
      </c>
      <c r="Q145" s="1206">
        <f t="shared" si="45"/>
        <v>1665.4</v>
      </c>
      <c r="R145" s="163"/>
      <c r="S145" s="333"/>
      <c r="T145" s="496"/>
    </row>
    <row r="146" spans="1:20" ht="15" customHeight="1">
      <c r="A146" s="433" t="s">
        <v>302</v>
      </c>
      <c r="B146" s="527" t="s">
        <v>2145</v>
      </c>
      <c r="C146" s="339"/>
      <c r="D146" s="528"/>
      <c r="E146" s="683"/>
      <c r="F146" s="683"/>
      <c r="G146" s="683"/>
      <c r="H146" s="687"/>
      <c r="I146" s="687"/>
      <c r="J146" s="687"/>
      <c r="K146" s="293"/>
      <c r="L146" s="293"/>
      <c r="M146" s="293"/>
      <c r="N146" s="293"/>
      <c r="O146" s="293"/>
      <c r="P146" s="293"/>
      <c r="Q146" s="1211"/>
      <c r="R146" s="529"/>
      <c r="S146" s="333"/>
      <c r="T146" s="496"/>
    </row>
    <row r="147" spans="1:20" ht="15" customHeight="1">
      <c r="A147" s="189"/>
      <c r="B147" s="144" t="s">
        <v>293</v>
      </c>
      <c r="C147" s="37" t="s">
        <v>294</v>
      </c>
      <c r="D147" s="38"/>
      <c r="E147" s="685"/>
      <c r="F147" s="685"/>
      <c r="G147" s="685"/>
      <c r="H147" s="686">
        <v>127</v>
      </c>
      <c r="I147" s="686">
        <v>73</v>
      </c>
      <c r="J147" s="686">
        <f>I147</f>
        <v>73</v>
      </c>
      <c r="K147" s="279">
        <f t="shared" si="42"/>
        <v>73</v>
      </c>
      <c r="L147" s="279">
        <f t="shared" si="43"/>
        <v>73</v>
      </c>
      <c r="M147" s="279">
        <f t="shared" si="44"/>
        <v>80.300000000000011</v>
      </c>
      <c r="N147" s="279">
        <f t="shared" si="41"/>
        <v>80.300000000000011</v>
      </c>
      <c r="O147" s="279">
        <f t="shared" ref="O147:O211" si="47">N147</f>
        <v>80.300000000000011</v>
      </c>
      <c r="P147" s="279">
        <f t="shared" si="45"/>
        <v>80.300000000000011</v>
      </c>
      <c r="Q147" s="1206">
        <f t="shared" si="45"/>
        <v>80.300000000000011</v>
      </c>
      <c r="R147" s="163"/>
      <c r="S147" s="333"/>
      <c r="T147" s="496"/>
    </row>
    <row r="148" spans="1:20" ht="15" customHeight="1">
      <c r="A148" s="189"/>
      <c r="B148" s="144" t="s">
        <v>162</v>
      </c>
      <c r="C148" s="37" t="s">
        <v>294</v>
      </c>
      <c r="D148" s="38"/>
      <c r="E148" s="685"/>
      <c r="F148" s="685"/>
      <c r="G148" s="685"/>
      <c r="H148" s="686">
        <v>198</v>
      </c>
      <c r="I148" s="686">
        <v>113</v>
      </c>
      <c r="J148" s="686">
        <f t="shared" ref="J148:J155" si="48">I148</f>
        <v>113</v>
      </c>
      <c r="K148" s="279">
        <f t="shared" si="42"/>
        <v>113</v>
      </c>
      <c r="L148" s="279">
        <f t="shared" si="43"/>
        <v>113</v>
      </c>
      <c r="M148" s="279">
        <f t="shared" si="44"/>
        <v>124.30000000000001</v>
      </c>
      <c r="N148" s="279">
        <f t="shared" si="41"/>
        <v>124.30000000000001</v>
      </c>
      <c r="O148" s="279">
        <f t="shared" si="47"/>
        <v>124.30000000000001</v>
      </c>
      <c r="P148" s="279">
        <f t="shared" si="45"/>
        <v>124.30000000000001</v>
      </c>
      <c r="Q148" s="1206">
        <f t="shared" si="45"/>
        <v>124.30000000000001</v>
      </c>
      <c r="R148" s="163"/>
      <c r="S148" s="333"/>
      <c r="T148" s="496"/>
    </row>
    <row r="149" spans="1:20" ht="15" customHeight="1">
      <c r="A149" s="189"/>
      <c r="B149" s="144" t="s">
        <v>295</v>
      </c>
      <c r="C149" s="37" t="s">
        <v>294</v>
      </c>
      <c r="D149" s="38"/>
      <c r="E149" s="685"/>
      <c r="F149" s="685"/>
      <c r="G149" s="685"/>
      <c r="H149" s="686">
        <v>315</v>
      </c>
      <c r="I149" s="686">
        <v>180</v>
      </c>
      <c r="J149" s="686">
        <f t="shared" si="48"/>
        <v>180</v>
      </c>
      <c r="K149" s="279">
        <f t="shared" si="42"/>
        <v>180</v>
      </c>
      <c r="L149" s="279">
        <f t="shared" si="43"/>
        <v>180</v>
      </c>
      <c r="M149" s="279">
        <f t="shared" si="44"/>
        <v>198.00000000000003</v>
      </c>
      <c r="N149" s="279">
        <f t="shared" si="41"/>
        <v>198.00000000000003</v>
      </c>
      <c r="O149" s="279">
        <f t="shared" si="47"/>
        <v>198.00000000000003</v>
      </c>
      <c r="P149" s="279">
        <f t="shared" si="45"/>
        <v>198.00000000000003</v>
      </c>
      <c r="Q149" s="1206">
        <f t="shared" si="45"/>
        <v>198.00000000000003</v>
      </c>
      <c r="R149" s="163"/>
      <c r="S149" s="333"/>
      <c r="T149" s="496"/>
    </row>
    <row r="150" spans="1:20" ht="15" customHeight="1">
      <c r="A150" s="189"/>
      <c r="B150" s="144" t="s">
        <v>296</v>
      </c>
      <c r="C150" s="37" t="s">
        <v>294</v>
      </c>
      <c r="D150" s="38"/>
      <c r="E150" s="685"/>
      <c r="F150" s="685"/>
      <c r="G150" s="685"/>
      <c r="H150" s="686">
        <v>507</v>
      </c>
      <c r="I150" s="686">
        <v>289</v>
      </c>
      <c r="J150" s="686">
        <f t="shared" si="48"/>
        <v>289</v>
      </c>
      <c r="K150" s="279">
        <f t="shared" si="42"/>
        <v>289</v>
      </c>
      <c r="L150" s="279">
        <f t="shared" si="43"/>
        <v>289</v>
      </c>
      <c r="M150" s="279">
        <f t="shared" si="44"/>
        <v>317.90000000000003</v>
      </c>
      <c r="N150" s="279">
        <f t="shared" si="41"/>
        <v>317.90000000000003</v>
      </c>
      <c r="O150" s="279">
        <f t="shared" si="47"/>
        <v>317.90000000000003</v>
      </c>
      <c r="P150" s="279">
        <f t="shared" si="45"/>
        <v>317.90000000000003</v>
      </c>
      <c r="Q150" s="1206">
        <f t="shared" si="45"/>
        <v>317.90000000000003</v>
      </c>
      <c r="R150" s="163"/>
      <c r="S150" s="333"/>
      <c r="T150" s="496"/>
    </row>
    <row r="151" spans="1:20" ht="15" customHeight="1">
      <c r="A151" s="189"/>
      <c r="B151" s="144" t="s">
        <v>297</v>
      </c>
      <c r="C151" s="37" t="s">
        <v>294</v>
      </c>
      <c r="D151" s="38"/>
      <c r="E151" s="685"/>
      <c r="F151" s="685"/>
      <c r="G151" s="685"/>
      <c r="H151" s="686">
        <v>790</v>
      </c>
      <c r="I151" s="686">
        <v>451</v>
      </c>
      <c r="J151" s="686">
        <f t="shared" si="48"/>
        <v>451</v>
      </c>
      <c r="K151" s="279">
        <f t="shared" si="42"/>
        <v>451</v>
      </c>
      <c r="L151" s="279">
        <f t="shared" si="43"/>
        <v>451</v>
      </c>
      <c r="M151" s="279">
        <f t="shared" si="44"/>
        <v>496.1</v>
      </c>
      <c r="N151" s="279">
        <f t="shared" si="41"/>
        <v>496.1</v>
      </c>
      <c r="O151" s="279">
        <f t="shared" si="47"/>
        <v>496.1</v>
      </c>
      <c r="P151" s="279">
        <f t="shared" si="45"/>
        <v>496.1</v>
      </c>
      <c r="Q151" s="1206">
        <f t="shared" si="45"/>
        <v>496.1</v>
      </c>
      <c r="R151" s="163"/>
      <c r="S151" s="333"/>
      <c r="T151" s="496"/>
    </row>
    <row r="152" spans="1:20" ht="15" customHeight="1">
      <c r="A152" s="189"/>
      <c r="B152" s="144" t="s">
        <v>298</v>
      </c>
      <c r="C152" s="37" t="s">
        <v>294</v>
      </c>
      <c r="D152" s="38"/>
      <c r="E152" s="685"/>
      <c r="F152" s="685"/>
      <c r="G152" s="685"/>
      <c r="H152" s="686">
        <v>1242</v>
      </c>
      <c r="I152" s="686">
        <v>709</v>
      </c>
      <c r="J152" s="686">
        <f t="shared" si="48"/>
        <v>709</v>
      </c>
      <c r="K152" s="279">
        <f t="shared" si="42"/>
        <v>709</v>
      </c>
      <c r="L152" s="279">
        <f t="shared" si="43"/>
        <v>709</v>
      </c>
      <c r="M152" s="279">
        <f t="shared" si="44"/>
        <v>779.90000000000009</v>
      </c>
      <c r="N152" s="279">
        <f t="shared" si="41"/>
        <v>779.90000000000009</v>
      </c>
      <c r="O152" s="279">
        <f t="shared" si="47"/>
        <v>779.90000000000009</v>
      </c>
      <c r="P152" s="279">
        <f t="shared" si="45"/>
        <v>779.90000000000009</v>
      </c>
      <c r="Q152" s="1206">
        <f t="shared" si="45"/>
        <v>779.90000000000009</v>
      </c>
      <c r="R152" s="163"/>
      <c r="S152" s="333"/>
      <c r="T152" s="496"/>
    </row>
    <row r="153" spans="1:20" ht="15" customHeight="1">
      <c r="A153" s="189"/>
      <c r="B153" s="144" t="s">
        <v>299</v>
      </c>
      <c r="C153" s="37" t="s">
        <v>294</v>
      </c>
      <c r="D153" s="38"/>
      <c r="E153" s="685"/>
      <c r="F153" s="685"/>
      <c r="G153" s="685"/>
      <c r="H153" s="686">
        <v>1771</v>
      </c>
      <c r="I153" s="686">
        <v>1010</v>
      </c>
      <c r="J153" s="686">
        <f t="shared" si="48"/>
        <v>1010</v>
      </c>
      <c r="K153" s="279">
        <f t="shared" si="42"/>
        <v>1010</v>
      </c>
      <c r="L153" s="279">
        <f t="shared" si="43"/>
        <v>1010</v>
      </c>
      <c r="M153" s="279">
        <f t="shared" si="44"/>
        <v>1111</v>
      </c>
      <c r="N153" s="279">
        <f t="shared" si="41"/>
        <v>1111</v>
      </c>
      <c r="O153" s="279">
        <f t="shared" si="47"/>
        <v>1111</v>
      </c>
      <c r="P153" s="279">
        <f t="shared" si="45"/>
        <v>1111</v>
      </c>
      <c r="Q153" s="1206">
        <f t="shared" si="45"/>
        <v>1111</v>
      </c>
      <c r="R153" s="163"/>
      <c r="S153" s="333"/>
      <c r="T153" s="496"/>
    </row>
    <row r="154" spans="1:20" ht="15" customHeight="1">
      <c r="A154" s="189"/>
      <c r="B154" s="144" t="s">
        <v>300</v>
      </c>
      <c r="C154" s="37" t="s">
        <v>294</v>
      </c>
      <c r="D154" s="38"/>
      <c r="E154" s="685"/>
      <c r="F154" s="685"/>
      <c r="G154" s="685"/>
      <c r="H154" s="686">
        <v>2530</v>
      </c>
      <c r="I154" s="686">
        <v>1443</v>
      </c>
      <c r="J154" s="686">
        <f t="shared" si="48"/>
        <v>1443</v>
      </c>
      <c r="K154" s="279">
        <f t="shared" si="42"/>
        <v>1443</v>
      </c>
      <c r="L154" s="279">
        <f t="shared" si="43"/>
        <v>1443</v>
      </c>
      <c r="M154" s="279">
        <f t="shared" si="44"/>
        <v>1587.3000000000002</v>
      </c>
      <c r="N154" s="279">
        <f t="shared" si="41"/>
        <v>1587.3000000000002</v>
      </c>
      <c r="O154" s="279">
        <f t="shared" si="47"/>
        <v>1587.3000000000002</v>
      </c>
      <c r="P154" s="279">
        <f t="shared" si="45"/>
        <v>1587.3000000000002</v>
      </c>
      <c r="Q154" s="1206">
        <f t="shared" si="45"/>
        <v>1587.3000000000002</v>
      </c>
      <c r="R154" s="163"/>
      <c r="S154" s="333"/>
      <c r="T154" s="496"/>
    </row>
    <row r="155" spans="1:20" ht="15" customHeight="1">
      <c r="A155" s="189"/>
      <c r="B155" s="144" t="s">
        <v>301</v>
      </c>
      <c r="C155" s="37" t="s">
        <v>294</v>
      </c>
      <c r="D155" s="38"/>
      <c r="E155" s="685"/>
      <c r="F155" s="685"/>
      <c r="G155" s="685"/>
      <c r="H155" s="686">
        <v>379</v>
      </c>
      <c r="I155" s="686">
        <v>216</v>
      </c>
      <c r="J155" s="686">
        <f t="shared" si="48"/>
        <v>216</v>
      </c>
      <c r="K155" s="279">
        <f t="shared" si="42"/>
        <v>216</v>
      </c>
      <c r="L155" s="279">
        <f t="shared" si="43"/>
        <v>216</v>
      </c>
      <c r="M155" s="279">
        <f t="shared" si="44"/>
        <v>237.60000000000002</v>
      </c>
      <c r="N155" s="279">
        <f t="shared" si="41"/>
        <v>237.60000000000002</v>
      </c>
      <c r="O155" s="279">
        <f t="shared" si="47"/>
        <v>237.60000000000002</v>
      </c>
      <c r="P155" s="279">
        <f t="shared" si="45"/>
        <v>237.60000000000002</v>
      </c>
      <c r="Q155" s="1206">
        <f t="shared" si="45"/>
        <v>237.60000000000002</v>
      </c>
      <c r="R155" s="163"/>
      <c r="S155" s="333"/>
      <c r="T155" s="496"/>
    </row>
    <row r="156" spans="1:20" ht="15" customHeight="1">
      <c r="A156" s="530" t="s">
        <v>303</v>
      </c>
      <c r="B156" s="531" t="s">
        <v>2146</v>
      </c>
      <c r="C156" s="445"/>
      <c r="D156" s="389"/>
      <c r="E156" s="682"/>
      <c r="F156" s="682"/>
      <c r="G156" s="682"/>
      <c r="H156" s="688"/>
      <c r="I156" s="688"/>
      <c r="J156" s="688"/>
      <c r="K156" s="464"/>
      <c r="L156" s="464"/>
      <c r="M156" s="464"/>
      <c r="N156" s="464"/>
      <c r="O156" s="464"/>
      <c r="P156" s="464"/>
      <c r="Q156" s="1204"/>
      <c r="R156" s="509"/>
      <c r="S156" s="333"/>
      <c r="T156" s="496"/>
    </row>
    <row r="157" spans="1:20" ht="15" customHeight="1">
      <c r="A157" s="189"/>
      <c r="B157" s="144" t="s">
        <v>293</v>
      </c>
      <c r="C157" s="37" t="s">
        <v>294</v>
      </c>
      <c r="D157" s="38"/>
      <c r="E157" s="685"/>
      <c r="F157" s="685"/>
      <c r="G157" s="685"/>
      <c r="H157" s="686">
        <v>151</v>
      </c>
      <c r="I157" s="686">
        <v>86</v>
      </c>
      <c r="J157" s="686">
        <f>I157</f>
        <v>86</v>
      </c>
      <c r="K157" s="279">
        <f t="shared" si="42"/>
        <v>86</v>
      </c>
      <c r="L157" s="279">
        <f t="shared" si="43"/>
        <v>86</v>
      </c>
      <c r="M157" s="279">
        <f t="shared" si="44"/>
        <v>94.600000000000009</v>
      </c>
      <c r="N157" s="279">
        <f t="shared" si="41"/>
        <v>94.600000000000009</v>
      </c>
      <c r="O157" s="279">
        <f t="shared" si="47"/>
        <v>94.600000000000009</v>
      </c>
      <c r="P157" s="279">
        <f t="shared" si="45"/>
        <v>94.600000000000009</v>
      </c>
      <c r="Q157" s="1206">
        <f t="shared" si="45"/>
        <v>94.600000000000009</v>
      </c>
      <c r="R157" s="163"/>
      <c r="S157" s="333"/>
      <c r="T157" s="496"/>
    </row>
    <row r="158" spans="1:20" ht="15" customHeight="1">
      <c r="A158" s="189"/>
      <c r="B158" s="144" t="s">
        <v>162</v>
      </c>
      <c r="C158" s="37" t="s">
        <v>294</v>
      </c>
      <c r="D158" s="38"/>
      <c r="E158" s="685"/>
      <c r="F158" s="685"/>
      <c r="G158" s="685"/>
      <c r="H158" s="686">
        <v>234</v>
      </c>
      <c r="I158" s="686">
        <v>134</v>
      </c>
      <c r="J158" s="686">
        <f t="shared" ref="J158:J180" si="49">I158</f>
        <v>134</v>
      </c>
      <c r="K158" s="279">
        <f t="shared" si="42"/>
        <v>134</v>
      </c>
      <c r="L158" s="279">
        <f t="shared" si="43"/>
        <v>134</v>
      </c>
      <c r="M158" s="279">
        <f t="shared" si="44"/>
        <v>147.4</v>
      </c>
      <c r="N158" s="279">
        <f t="shared" si="41"/>
        <v>147.4</v>
      </c>
      <c r="O158" s="279">
        <f t="shared" si="47"/>
        <v>147.4</v>
      </c>
      <c r="P158" s="279">
        <f t="shared" si="45"/>
        <v>147.4</v>
      </c>
      <c r="Q158" s="1206">
        <f t="shared" si="45"/>
        <v>147.4</v>
      </c>
      <c r="R158" s="163"/>
      <c r="S158" s="333"/>
      <c r="T158" s="496"/>
    </row>
    <row r="159" spans="1:20" ht="15" customHeight="1">
      <c r="A159" s="189"/>
      <c r="B159" s="144" t="s">
        <v>295</v>
      </c>
      <c r="C159" s="37" t="s">
        <v>294</v>
      </c>
      <c r="D159" s="38"/>
      <c r="E159" s="685"/>
      <c r="F159" s="685"/>
      <c r="G159" s="685"/>
      <c r="H159" s="686">
        <v>382</v>
      </c>
      <c r="I159" s="686">
        <v>218</v>
      </c>
      <c r="J159" s="686">
        <f t="shared" si="49"/>
        <v>218</v>
      </c>
      <c r="K159" s="279">
        <f t="shared" si="42"/>
        <v>218</v>
      </c>
      <c r="L159" s="279">
        <f t="shared" si="43"/>
        <v>218</v>
      </c>
      <c r="M159" s="279">
        <f t="shared" si="44"/>
        <v>239.8</v>
      </c>
      <c r="N159" s="279">
        <f t="shared" si="41"/>
        <v>239.8</v>
      </c>
      <c r="O159" s="279">
        <f t="shared" si="47"/>
        <v>239.8</v>
      </c>
      <c r="P159" s="279">
        <f t="shared" si="45"/>
        <v>239.8</v>
      </c>
      <c r="Q159" s="1206">
        <f t="shared" si="45"/>
        <v>239.8</v>
      </c>
      <c r="R159" s="163"/>
      <c r="S159" s="333"/>
      <c r="T159" s="496"/>
    </row>
    <row r="160" spans="1:20" ht="15" customHeight="1">
      <c r="A160" s="189"/>
      <c r="B160" s="144" t="s">
        <v>296</v>
      </c>
      <c r="C160" s="37" t="s">
        <v>294</v>
      </c>
      <c r="D160" s="38"/>
      <c r="E160" s="685"/>
      <c r="F160" s="685"/>
      <c r="G160" s="685"/>
      <c r="H160" s="686">
        <v>591</v>
      </c>
      <c r="I160" s="686">
        <v>337</v>
      </c>
      <c r="J160" s="686">
        <f t="shared" si="49"/>
        <v>337</v>
      </c>
      <c r="K160" s="279">
        <f t="shared" si="42"/>
        <v>337</v>
      </c>
      <c r="L160" s="279">
        <f t="shared" si="43"/>
        <v>337</v>
      </c>
      <c r="M160" s="279">
        <f t="shared" si="44"/>
        <v>370.70000000000005</v>
      </c>
      <c r="N160" s="279">
        <f t="shared" si="41"/>
        <v>370.70000000000005</v>
      </c>
      <c r="O160" s="279">
        <f t="shared" si="47"/>
        <v>370.70000000000005</v>
      </c>
      <c r="P160" s="279">
        <f t="shared" si="45"/>
        <v>370.70000000000005</v>
      </c>
      <c r="Q160" s="1206">
        <f t="shared" si="45"/>
        <v>370.70000000000005</v>
      </c>
      <c r="R160" s="163"/>
      <c r="S160" s="333"/>
      <c r="T160" s="496"/>
    </row>
    <row r="161" spans="1:20" ht="15" customHeight="1">
      <c r="A161" s="189"/>
      <c r="B161" s="144" t="s">
        <v>297</v>
      </c>
      <c r="C161" s="37" t="s">
        <v>294</v>
      </c>
      <c r="D161" s="38"/>
      <c r="E161" s="685"/>
      <c r="F161" s="685"/>
      <c r="G161" s="685"/>
      <c r="H161" s="686">
        <v>916</v>
      </c>
      <c r="I161" s="686">
        <v>523</v>
      </c>
      <c r="J161" s="686">
        <f t="shared" si="49"/>
        <v>523</v>
      </c>
      <c r="K161" s="279">
        <f t="shared" si="42"/>
        <v>523</v>
      </c>
      <c r="L161" s="279">
        <f t="shared" si="43"/>
        <v>523</v>
      </c>
      <c r="M161" s="279">
        <f t="shared" si="44"/>
        <v>575.30000000000007</v>
      </c>
      <c r="N161" s="279">
        <f t="shared" si="41"/>
        <v>575.30000000000007</v>
      </c>
      <c r="O161" s="279">
        <f t="shared" si="47"/>
        <v>575.30000000000007</v>
      </c>
      <c r="P161" s="279">
        <f t="shared" si="45"/>
        <v>575.30000000000007</v>
      </c>
      <c r="Q161" s="1206">
        <f t="shared" si="45"/>
        <v>575.30000000000007</v>
      </c>
      <c r="R161" s="163"/>
      <c r="S161" s="333"/>
      <c r="T161" s="496"/>
    </row>
    <row r="162" spans="1:20" ht="15" customHeight="1">
      <c r="A162" s="189"/>
      <c r="B162" s="144" t="s">
        <v>298</v>
      </c>
      <c r="C162" s="37" t="s">
        <v>294</v>
      </c>
      <c r="D162" s="38"/>
      <c r="E162" s="685"/>
      <c r="F162" s="685"/>
      <c r="G162" s="685"/>
      <c r="H162" s="686">
        <v>1454</v>
      </c>
      <c r="I162" s="686">
        <v>830</v>
      </c>
      <c r="J162" s="686">
        <f t="shared" si="49"/>
        <v>830</v>
      </c>
      <c r="K162" s="279">
        <f t="shared" si="42"/>
        <v>830</v>
      </c>
      <c r="L162" s="279">
        <f t="shared" si="43"/>
        <v>830</v>
      </c>
      <c r="M162" s="279">
        <f t="shared" si="44"/>
        <v>913.00000000000011</v>
      </c>
      <c r="N162" s="279">
        <f t="shared" si="41"/>
        <v>913.00000000000011</v>
      </c>
      <c r="O162" s="279">
        <f t="shared" si="47"/>
        <v>913.00000000000011</v>
      </c>
      <c r="P162" s="279">
        <f t="shared" si="45"/>
        <v>913.00000000000011</v>
      </c>
      <c r="Q162" s="1206">
        <f t="shared" si="45"/>
        <v>913.00000000000011</v>
      </c>
      <c r="R162" s="163"/>
      <c r="S162" s="333"/>
      <c r="T162" s="496"/>
    </row>
    <row r="163" spans="1:20" ht="15" customHeight="1">
      <c r="A163" s="189"/>
      <c r="B163" s="144" t="s">
        <v>299</v>
      </c>
      <c r="C163" s="37" t="s">
        <v>294</v>
      </c>
      <c r="D163" s="38"/>
      <c r="E163" s="685"/>
      <c r="F163" s="685"/>
      <c r="G163" s="685"/>
      <c r="H163" s="686">
        <v>2062</v>
      </c>
      <c r="I163" s="686">
        <v>1177</v>
      </c>
      <c r="J163" s="686">
        <f t="shared" si="49"/>
        <v>1177</v>
      </c>
      <c r="K163" s="279">
        <f t="shared" si="42"/>
        <v>1177</v>
      </c>
      <c r="L163" s="279">
        <f t="shared" si="43"/>
        <v>1177</v>
      </c>
      <c r="M163" s="279">
        <f t="shared" si="44"/>
        <v>1294.7</v>
      </c>
      <c r="N163" s="279">
        <f t="shared" si="41"/>
        <v>1294.7</v>
      </c>
      <c r="O163" s="279">
        <f t="shared" si="47"/>
        <v>1294.7</v>
      </c>
      <c r="P163" s="279">
        <f t="shared" si="45"/>
        <v>1294.7</v>
      </c>
      <c r="Q163" s="1206">
        <f t="shared" si="45"/>
        <v>1294.7</v>
      </c>
      <c r="R163" s="163"/>
      <c r="S163" s="333"/>
      <c r="T163" s="496"/>
    </row>
    <row r="164" spans="1:20" ht="15" customHeight="1">
      <c r="A164" s="189"/>
      <c r="B164" s="144" t="s">
        <v>300</v>
      </c>
      <c r="C164" s="37" t="s">
        <v>294</v>
      </c>
      <c r="D164" s="38"/>
      <c r="E164" s="685"/>
      <c r="F164" s="685"/>
      <c r="G164" s="685"/>
      <c r="H164" s="686">
        <v>2961</v>
      </c>
      <c r="I164" s="686">
        <v>1690</v>
      </c>
      <c r="J164" s="686">
        <f t="shared" si="49"/>
        <v>1690</v>
      </c>
      <c r="K164" s="279">
        <f t="shared" si="42"/>
        <v>1690</v>
      </c>
      <c r="L164" s="279">
        <f t="shared" si="43"/>
        <v>1690</v>
      </c>
      <c r="M164" s="279">
        <f t="shared" si="44"/>
        <v>1859.0000000000002</v>
      </c>
      <c r="N164" s="279">
        <f t="shared" si="41"/>
        <v>1859.0000000000002</v>
      </c>
      <c r="O164" s="279">
        <f t="shared" si="47"/>
        <v>1859.0000000000002</v>
      </c>
      <c r="P164" s="279">
        <f t="shared" si="45"/>
        <v>1859.0000000000002</v>
      </c>
      <c r="Q164" s="1206">
        <f t="shared" si="45"/>
        <v>1859.0000000000002</v>
      </c>
      <c r="R164" s="163"/>
      <c r="S164" s="333"/>
      <c r="T164" s="496"/>
    </row>
    <row r="165" spans="1:20" ht="15" customHeight="1">
      <c r="A165" s="189"/>
      <c r="B165" s="144" t="s">
        <v>301</v>
      </c>
      <c r="C165" s="37" t="s">
        <v>294</v>
      </c>
      <c r="D165" s="38"/>
      <c r="E165" s="685"/>
      <c r="F165" s="685"/>
      <c r="G165" s="685"/>
      <c r="H165" s="686">
        <v>4415</v>
      </c>
      <c r="I165" s="686">
        <v>2519</v>
      </c>
      <c r="J165" s="686">
        <f t="shared" si="49"/>
        <v>2519</v>
      </c>
      <c r="K165" s="279">
        <f t="shared" si="42"/>
        <v>2519</v>
      </c>
      <c r="L165" s="279">
        <f t="shared" si="43"/>
        <v>2519</v>
      </c>
      <c r="M165" s="279">
        <f t="shared" si="44"/>
        <v>2770.9</v>
      </c>
      <c r="N165" s="279">
        <f t="shared" si="41"/>
        <v>2770.9</v>
      </c>
      <c r="O165" s="279">
        <f t="shared" si="47"/>
        <v>2770.9</v>
      </c>
      <c r="P165" s="279">
        <f t="shared" si="45"/>
        <v>2770.9</v>
      </c>
      <c r="Q165" s="1206">
        <f t="shared" si="45"/>
        <v>2770.9</v>
      </c>
      <c r="R165" s="163"/>
      <c r="S165" s="333"/>
      <c r="T165" s="496"/>
    </row>
    <row r="166" spans="1:20" ht="19.5">
      <c r="A166" s="434">
        <v>18</v>
      </c>
      <c r="B166" s="532" t="s">
        <v>2147</v>
      </c>
      <c r="C166" s="466"/>
      <c r="D166" s="461"/>
      <c r="E166" s="689"/>
      <c r="F166" s="689"/>
      <c r="G166" s="689"/>
      <c r="H166" s="690"/>
      <c r="I166" s="690"/>
      <c r="J166" s="690"/>
      <c r="K166" s="456"/>
      <c r="L166" s="456"/>
      <c r="M166" s="456"/>
      <c r="N166" s="456"/>
      <c r="O166" s="456"/>
      <c r="P166" s="456"/>
      <c r="Q166" s="1205"/>
      <c r="R166" s="510"/>
      <c r="S166" s="333"/>
      <c r="T166" s="496"/>
    </row>
    <row r="167" spans="1:20" ht="15" customHeight="1">
      <c r="A167" s="494">
        <f>A166+0.01</f>
        <v>18.010000000000002</v>
      </c>
      <c r="B167" s="493" t="s">
        <v>2148</v>
      </c>
      <c r="C167" s="37" t="s">
        <v>294</v>
      </c>
      <c r="D167" s="47">
        <v>135</v>
      </c>
      <c r="E167" s="279">
        <v>200</v>
      </c>
      <c r="F167" s="279">
        <v>200</v>
      </c>
      <c r="G167" s="279">
        <v>210</v>
      </c>
      <c r="H167" s="143">
        <v>242.55000000000004</v>
      </c>
      <c r="I167" s="279">
        <v>255</v>
      </c>
      <c r="J167" s="686">
        <f t="shared" si="49"/>
        <v>255</v>
      </c>
      <c r="K167" s="279">
        <f t="shared" si="42"/>
        <v>255</v>
      </c>
      <c r="L167" s="279">
        <f t="shared" si="43"/>
        <v>255</v>
      </c>
      <c r="M167" s="279">
        <f t="shared" si="44"/>
        <v>280.5</v>
      </c>
      <c r="N167" s="279">
        <f t="shared" si="41"/>
        <v>280.5</v>
      </c>
      <c r="O167" s="279">
        <f t="shared" si="47"/>
        <v>280.5</v>
      </c>
      <c r="P167" s="279">
        <f t="shared" si="45"/>
        <v>280.5</v>
      </c>
      <c r="Q167" s="1206">
        <f t="shared" si="45"/>
        <v>280.5</v>
      </c>
      <c r="R167" s="163"/>
      <c r="S167" s="333"/>
      <c r="T167" s="496"/>
    </row>
    <row r="168" spans="1:20" ht="18">
      <c r="A168" s="494">
        <f>A167+0.01</f>
        <v>18.020000000000003</v>
      </c>
      <c r="B168" s="493" t="s">
        <v>304</v>
      </c>
      <c r="C168" s="37" t="s">
        <v>294</v>
      </c>
      <c r="D168" s="47">
        <v>160</v>
      </c>
      <c r="E168" s="279">
        <v>230</v>
      </c>
      <c r="F168" s="279">
        <v>230</v>
      </c>
      <c r="G168" s="279">
        <v>240</v>
      </c>
      <c r="H168" s="143">
        <v>277.2</v>
      </c>
      <c r="I168" s="279">
        <v>291</v>
      </c>
      <c r="J168" s="686">
        <f t="shared" si="49"/>
        <v>291</v>
      </c>
      <c r="K168" s="279">
        <f t="shared" si="42"/>
        <v>291</v>
      </c>
      <c r="L168" s="279">
        <f t="shared" si="43"/>
        <v>291</v>
      </c>
      <c r="M168" s="279">
        <f t="shared" si="44"/>
        <v>320.10000000000002</v>
      </c>
      <c r="N168" s="279">
        <f t="shared" si="41"/>
        <v>320.10000000000002</v>
      </c>
      <c r="O168" s="279">
        <f t="shared" si="47"/>
        <v>320.10000000000002</v>
      </c>
      <c r="P168" s="279">
        <f t="shared" si="45"/>
        <v>320.10000000000002</v>
      </c>
      <c r="Q168" s="1206">
        <f t="shared" si="45"/>
        <v>320.10000000000002</v>
      </c>
      <c r="R168" s="163"/>
      <c r="S168" s="333"/>
      <c r="T168" s="496"/>
    </row>
    <row r="169" spans="1:20" ht="18">
      <c r="A169" s="494">
        <f t="shared" ref="A169:A173" si="50">A168+0.01</f>
        <v>18.030000000000005</v>
      </c>
      <c r="B169" s="493" t="s">
        <v>305</v>
      </c>
      <c r="C169" s="46" t="s">
        <v>88</v>
      </c>
      <c r="D169" s="47">
        <v>170</v>
      </c>
      <c r="E169" s="279">
        <v>240</v>
      </c>
      <c r="F169" s="279">
        <v>240</v>
      </c>
      <c r="G169" s="279">
        <v>250</v>
      </c>
      <c r="H169" s="143">
        <v>288.75</v>
      </c>
      <c r="I169" s="279">
        <v>303</v>
      </c>
      <c r="J169" s="686">
        <f t="shared" si="49"/>
        <v>303</v>
      </c>
      <c r="K169" s="279">
        <f t="shared" si="42"/>
        <v>303</v>
      </c>
      <c r="L169" s="279">
        <f t="shared" si="43"/>
        <v>303</v>
      </c>
      <c r="M169" s="279">
        <f t="shared" si="44"/>
        <v>333.3</v>
      </c>
      <c r="N169" s="279">
        <f t="shared" si="41"/>
        <v>333.3</v>
      </c>
      <c r="O169" s="279">
        <f t="shared" si="47"/>
        <v>333.3</v>
      </c>
      <c r="P169" s="279">
        <f t="shared" si="45"/>
        <v>333.3</v>
      </c>
      <c r="Q169" s="1206">
        <f t="shared" si="45"/>
        <v>333.3</v>
      </c>
      <c r="R169" s="163"/>
      <c r="S169" s="333"/>
      <c r="T169" s="496"/>
    </row>
    <row r="170" spans="1:20" ht="18">
      <c r="A170" s="494">
        <f t="shared" si="50"/>
        <v>18.040000000000006</v>
      </c>
      <c r="B170" s="493" t="s">
        <v>306</v>
      </c>
      <c r="C170" s="46" t="s">
        <v>88</v>
      </c>
      <c r="D170" s="47">
        <v>200</v>
      </c>
      <c r="E170" s="279">
        <v>275</v>
      </c>
      <c r="F170" s="279">
        <v>275</v>
      </c>
      <c r="G170" s="279">
        <v>280</v>
      </c>
      <c r="H170" s="143">
        <v>323.40000000000003</v>
      </c>
      <c r="I170" s="279">
        <v>340</v>
      </c>
      <c r="J170" s="686">
        <f t="shared" si="49"/>
        <v>340</v>
      </c>
      <c r="K170" s="279">
        <f t="shared" si="42"/>
        <v>340</v>
      </c>
      <c r="L170" s="279">
        <f t="shared" si="43"/>
        <v>340</v>
      </c>
      <c r="M170" s="279">
        <f t="shared" si="44"/>
        <v>374.00000000000006</v>
      </c>
      <c r="N170" s="279">
        <f t="shared" si="41"/>
        <v>374.00000000000006</v>
      </c>
      <c r="O170" s="279">
        <f t="shared" si="47"/>
        <v>374.00000000000006</v>
      </c>
      <c r="P170" s="279">
        <f t="shared" si="45"/>
        <v>374.00000000000006</v>
      </c>
      <c r="Q170" s="1206">
        <f t="shared" si="45"/>
        <v>374.00000000000006</v>
      </c>
      <c r="R170" s="163"/>
      <c r="S170" s="333"/>
      <c r="T170" s="496"/>
    </row>
    <row r="171" spans="1:20" ht="18">
      <c r="A171" s="494">
        <f t="shared" si="50"/>
        <v>18.050000000000008</v>
      </c>
      <c r="B171" s="493" t="s">
        <v>307</v>
      </c>
      <c r="C171" s="46" t="s">
        <v>88</v>
      </c>
      <c r="D171" s="47">
        <v>250</v>
      </c>
      <c r="E171" s="279">
        <v>330</v>
      </c>
      <c r="F171" s="279">
        <v>330</v>
      </c>
      <c r="G171" s="279">
        <v>345</v>
      </c>
      <c r="H171" s="143">
        <v>398.47500000000008</v>
      </c>
      <c r="I171" s="279">
        <v>418</v>
      </c>
      <c r="J171" s="686">
        <f t="shared" si="49"/>
        <v>418</v>
      </c>
      <c r="K171" s="279">
        <f t="shared" si="42"/>
        <v>418</v>
      </c>
      <c r="L171" s="279">
        <f t="shared" si="43"/>
        <v>418</v>
      </c>
      <c r="M171" s="279">
        <f t="shared" si="44"/>
        <v>459.8</v>
      </c>
      <c r="N171" s="279">
        <f t="shared" si="41"/>
        <v>459.8</v>
      </c>
      <c r="O171" s="279">
        <f t="shared" si="47"/>
        <v>459.8</v>
      </c>
      <c r="P171" s="279">
        <f t="shared" si="45"/>
        <v>459.8</v>
      </c>
      <c r="Q171" s="1206">
        <f t="shared" si="45"/>
        <v>459.8</v>
      </c>
      <c r="R171" s="163"/>
      <c r="S171" s="333"/>
      <c r="T171" s="496"/>
    </row>
    <row r="172" spans="1:20" ht="18">
      <c r="A172" s="494">
        <f t="shared" si="50"/>
        <v>18.060000000000009</v>
      </c>
      <c r="B172" s="493" t="s">
        <v>308</v>
      </c>
      <c r="C172" s="46" t="s">
        <v>88</v>
      </c>
      <c r="D172" s="47">
        <v>450</v>
      </c>
      <c r="E172" s="279">
        <v>600</v>
      </c>
      <c r="F172" s="279">
        <v>600</v>
      </c>
      <c r="G172" s="279">
        <v>600</v>
      </c>
      <c r="H172" s="143">
        <v>693</v>
      </c>
      <c r="I172" s="279">
        <v>728</v>
      </c>
      <c r="J172" s="686">
        <f t="shared" si="49"/>
        <v>728</v>
      </c>
      <c r="K172" s="279">
        <f t="shared" si="42"/>
        <v>728</v>
      </c>
      <c r="L172" s="279">
        <f t="shared" si="43"/>
        <v>728</v>
      </c>
      <c r="M172" s="279">
        <f t="shared" si="44"/>
        <v>800.80000000000007</v>
      </c>
      <c r="N172" s="279">
        <f t="shared" si="41"/>
        <v>800.80000000000007</v>
      </c>
      <c r="O172" s="279">
        <f t="shared" si="47"/>
        <v>800.80000000000007</v>
      </c>
      <c r="P172" s="279">
        <f t="shared" si="45"/>
        <v>800.80000000000007</v>
      </c>
      <c r="Q172" s="1206">
        <f t="shared" si="45"/>
        <v>800.80000000000007</v>
      </c>
      <c r="R172" s="163"/>
      <c r="S172" s="333"/>
      <c r="T172" s="496"/>
    </row>
    <row r="173" spans="1:20" ht="18">
      <c r="A173" s="494">
        <f t="shared" si="50"/>
        <v>18.070000000000011</v>
      </c>
      <c r="B173" s="493" t="s">
        <v>309</v>
      </c>
      <c r="C173" s="46" t="s">
        <v>88</v>
      </c>
      <c r="D173" s="47">
        <v>550</v>
      </c>
      <c r="E173" s="279">
        <v>715</v>
      </c>
      <c r="F173" s="279">
        <v>715</v>
      </c>
      <c r="G173" s="279">
        <v>715</v>
      </c>
      <c r="H173" s="143">
        <v>825.82500000000016</v>
      </c>
      <c r="I173" s="279">
        <v>867</v>
      </c>
      <c r="J173" s="686">
        <f t="shared" si="49"/>
        <v>867</v>
      </c>
      <c r="K173" s="279">
        <f t="shared" si="42"/>
        <v>867</v>
      </c>
      <c r="L173" s="279">
        <f t="shared" si="43"/>
        <v>867</v>
      </c>
      <c r="M173" s="279">
        <f t="shared" si="44"/>
        <v>953.7</v>
      </c>
      <c r="N173" s="279">
        <f t="shared" si="41"/>
        <v>953.7</v>
      </c>
      <c r="O173" s="279">
        <f t="shared" si="47"/>
        <v>953.7</v>
      </c>
      <c r="P173" s="279">
        <f t="shared" si="45"/>
        <v>953.7</v>
      </c>
      <c r="Q173" s="1206">
        <f t="shared" si="45"/>
        <v>953.7</v>
      </c>
      <c r="R173" s="163"/>
      <c r="S173" s="333"/>
      <c r="T173" s="496"/>
    </row>
    <row r="174" spans="1:20" ht="19.5">
      <c r="A174" s="434">
        <v>19</v>
      </c>
      <c r="B174" s="532" t="s">
        <v>2149</v>
      </c>
      <c r="C174" s="386"/>
      <c r="D174" s="386"/>
      <c r="E174" s="386"/>
      <c r="F174" s="386"/>
      <c r="G174" s="386"/>
      <c r="H174" s="386"/>
      <c r="I174" s="386"/>
      <c r="J174" s="386"/>
      <c r="K174" s="386"/>
      <c r="L174" s="386"/>
      <c r="M174" s="386"/>
      <c r="N174" s="386"/>
      <c r="O174" s="386"/>
      <c r="P174" s="386"/>
      <c r="Q174" s="1212"/>
      <c r="R174" s="958"/>
      <c r="S174" s="333"/>
      <c r="T174" s="496"/>
    </row>
    <row r="175" spans="1:20" ht="15" customHeight="1">
      <c r="A175" s="494">
        <f>A174+0.01</f>
        <v>19.010000000000002</v>
      </c>
      <c r="B175" s="493" t="s">
        <v>2150</v>
      </c>
      <c r="C175" s="46" t="s">
        <v>189</v>
      </c>
      <c r="D175" s="47">
        <v>28</v>
      </c>
      <c r="E175" s="279">
        <v>50</v>
      </c>
      <c r="F175" s="279">
        <v>50</v>
      </c>
      <c r="G175" s="279">
        <v>50</v>
      </c>
      <c r="H175" s="143">
        <v>57.750000000000007</v>
      </c>
      <c r="I175" s="279">
        <v>61</v>
      </c>
      <c r="J175" s="686">
        <f t="shared" si="49"/>
        <v>61</v>
      </c>
      <c r="K175" s="279">
        <f t="shared" si="42"/>
        <v>61</v>
      </c>
      <c r="L175" s="279">
        <f t="shared" si="43"/>
        <v>61</v>
      </c>
      <c r="M175" s="279">
        <f t="shared" si="44"/>
        <v>67.100000000000009</v>
      </c>
      <c r="N175" s="279">
        <f t="shared" si="41"/>
        <v>67.100000000000009</v>
      </c>
      <c r="O175" s="279">
        <f t="shared" si="47"/>
        <v>67.100000000000009</v>
      </c>
      <c r="P175" s="279">
        <f t="shared" si="45"/>
        <v>67.100000000000009</v>
      </c>
      <c r="Q175" s="1206">
        <f t="shared" si="45"/>
        <v>67.100000000000009</v>
      </c>
      <c r="R175" s="163"/>
      <c r="S175" s="333"/>
      <c r="T175" s="496"/>
    </row>
    <row r="176" spans="1:20" s="333" customFormat="1" ht="18">
      <c r="A176" s="494">
        <f>A175+0.01</f>
        <v>19.020000000000003</v>
      </c>
      <c r="B176" s="495" t="s">
        <v>310</v>
      </c>
      <c r="C176" s="46" t="s">
        <v>189</v>
      </c>
      <c r="D176" s="47">
        <v>46</v>
      </c>
      <c r="E176" s="279">
        <v>70</v>
      </c>
      <c r="F176" s="279">
        <v>70</v>
      </c>
      <c r="G176" s="279">
        <v>70</v>
      </c>
      <c r="H176" s="143">
        <v>80.850000000000009</v>
      </c>
      <c r="I176" s="279">
        <v>85</v>
      </c>
      <c r="J176" s="686">
        <f t="shared" si="49"/>
        <v>85</v>
      </c>
      <c r="K176" s="279">
        <f t="shared" si="42"/>
        <v>85</v>
      </c>
      <c r="L176" s="279">
        <f t="shared" si="43"/>
        <v>85</v>
      </c>
      <c r="M176" s="279">
        <f t="shared" si="44"/>
        <v>93.500000000000014</v>
      </c>
      <c r="N176" s="279">
        <f t="shared" si="41"/>
        <v>93.500000000000014</v>
      </c>
      <c r="O176" s="279">
        <f t="shared" si="47"/>
        <v>93.500000000000014</v>
      </c>
      <c r="P176" s="279">
        <f t="shared" si="45"/>
        <v>93.500000000000014</v>
      </c>
      <c r="Q176" s="1206">
        <f t="shared" si="45"/>
        <v>93.500000000000014</v>
      </c>
      <c r="R176" s="163"/>
      <c r="T176" s="496"/>
    </row>
    <row r="177" spans="1:20" s="333" customFormat="1" ht="18">
      <c r="A177" s="494">
        <f t="shared" ref="A177:A180" si="51">A176+0.01</f>
        <v>19.030000000000005</v>
      </c>
      <c r="B177" s="495" t="s">
        <v>311</v>
      </c>
      <c r="C177" s="46" t="s">
        <v>88</v>
      </c>
      <c r="D177" s="47">
        <v>73</v>
      </c>
      <c r="E177" s="279">
        <v>105</v>
      </c>
      <c r="F177" s="279">
        <v>105</v>
      </c>
      <c r="G177" s="279">
        <v>105</v>
      </c>
      <c r="H177" s="143">
        <v>121.27500000000002</v>
      </c>
      <c r="I177" s="279">
        <v>127</v>
      </c>
      <c r="J177" s="686">
        <f t="shared" si="49"/>
        <v>127</v>
      </c>
      <c r="K177" s="279">
        <f t="shared" si="42"/>
        <v>127</v>
      </c>
      <c r="L177" s="279">
        <f t="shared" si="43"/>
        <v>127</v>
      </c>
      <c r="M177" s="279">
        <f t="shared" si="44"/>
        <v>139.70000000000002</v>
      </c>
      <c r="N177" s="279">
        <f t="shared" si="41"/>
        <v>139.70000000000002</v>
      </c>
      <c r="O177" s="279">
        <f t="shared" si="47"/>
        <v>139.70000000000002</v>
      </c>
      <c r="P177" s="279">
        <f t="shared" si="45"/>
        <v>139.70000000000002</v>
      </c>
      <c r="Q177" s="1206">
        <f t="shared" si="45"/>
        <v>139.70000000000002</v>
      </c>
      <c r="R177" s="163"/>
      <c r="T177" s="496"/>
    </row>
    <row r="178" spans="1:20" s="333" customFormat="1" ht="18">
      <c r="A178" s="494">
        <f t="shared" si="51"/>
        <v>19.040000000000006</v>
      </c>
      <c r="B178" s="495" t="s">
        <v>312</v>
      </c>
      <c r="C178" s="46" t="s">
        <v>88</v>
      </c>
      <c r="D178" s="47">
        <v>100</v>
      </c>
      <c r="E178" s="279">
        <v>140</v>
      </c>
      <c r="F178" s="279">
        <v>140</v>
      </c>
      <c r="G178" s="279">
        <v>140</v>
      </c>
      <c r="H178" s="143">
        <v>161.70000000000002</v>
      </c>
      <c r="I178" s="279">
        <v>170</v>
      </c>
      <c r="J178" s="686">
        <f t="shared" si="49"/>
        <v>170</v>
      </c>
      <c r="K178" s="279">
        <f t="shared" si="42"/>
        <v>170</v>
      </c>
      <c r="L178" s="279">
        <f t="shared" si="43"/>
        <v>170</v>
      </c>
      <c r="M178" s="279">
        <f t="shared" si="44"/>
        <v>187.00000000000003</v>
      </c>
      <c r="N178" s="279">
        <f t="shared" si="41"/>
        <v>187.00000000000003</v>
      </c>
      <c r="O178" s="279">
        <f t="shared" si="47"/>
        <v>187.00000000000003</v>
      </c>
      <c r="P178" s="279">
        <f t="shared" si="45"/>
        <v>187.00000000000003</v>
      </c>
      <c r="Q178" s="1206">
        <f t="shared" si="45"/>
        <v>187.00000000000003</v>
      </c>
      <c r="R178" s="163"/>
      <c r="T178" s="496"/>
    </row>
    <row r="179" spans="1:20" s="333" customFormat="1" ht="18">
      <c r="A179" s="494">
        <f t="shared" si="51"/>
        <v>19.050000000000008</v>
      </c>
      <c r="B179" s="495" t="s">
        <v>313</v>
      </c>
      <c r="C179" s="46" t="s">
        <v>88</v>
      </c>
      <c r="D179" s="47">
        <v>70</v>
      </c>
      <c r="E179" s="279">
        <v>90</v>
      </c>
      <c r="F179" s="279">
        <v>90</v>
      </c>
      <c r="G179" s="279">
        <v>90</v>
      </c>
      <c r="H179" s="143">
        <v>103.95000000000002</v>
      </c>
      <c r="I179" s="279">
        <v>109</v>
      </c>
      <c r="J179" s="686">
        <f t="shared" si="49"/>
        <v>109</v>
      </c>
      <c r="K179" s="279">
        <f t="shared" si="42"/>
        <v>109</v>
      </c>
      <c r="L179" s="279">
        <f t="shared" si="43"/>
        <v>109</v>
      </c>
      <c r="M179" s="279">
        <f t="shared" si="44"/>
        <v>119.9</v>
      </c>
      <c r="N179" s="279">
        <f t="shared" si="41"/>
        <v>119.9</v>
      </c>
      <c r="O179" s="279">
        <f t="shared" si="47"/>
        <v>119.9</v>
      </c>
      <c r="P179" s="279">
        <f t="shared" si="45"/>
        <v>119.9</v>
      </c>
      <c r="Q179" s="1206">
        <f t="shared" si="45"/>
        <v>119.9</v>
      </c>
      <c r="R179" s="163"/>
      <c r="T179" s="496"/>
    </row>
    <row r="180" spans="1:20" s="333" customFormat="1" ht="18">
      <c r="A180" s="494">
        <f t="shared" si="51"/>
        <v>19.060000000000009</v>
      </c>
      <c r="B180" s="495" t="s">
        <v>314</v>
      </c>
      <c r="C180" s="46" t="s">
        <v>88</v>
      </c>
      <c r="D180" s="47">
        <v>95</v>
      </c>
      <c r="E180" s="279">
        <v>130</v>
      </c>
      <c r="F180" s="279">
        <v>130</v>
      </c>
      <c r="G180" s="279">
        <v>130</v>
      </c>
      <c r="H180" s="143">
        <v>150.15</v>
      </c>
      <c r="I180" s="279">
        <v>158</v>
      </c>
      <c r="J180" s="686">
        <f t="shared" si="49"/>
        <v>158</v>
      </c>
      <c r="K180" s="279">
        <f t="shared" si="42"/>
        <v>158</v>
      </c>
      <c r="L180" s="279">
        <f t="shared" si="43"/>
        <v>158</v>
      </c>
      <c r="M180" s="279">
        <f t="shared" si="44"/>
        <v>173.8</v>
      </c>
      <c r="N180" s="279">
        <f t="shared" si="41"/>
        <v>173.8</v>
      </c>
      <c r="O180" s="279">
        <f t="shared" si="47"/>
        <v>173.8</v>
      </c>
      <c r="P180" s="279">
        <f t="shared" si="45"/>
        <v>173.8</v>
      </c>
      <c r="Q180" s="1206">
        <f t="shared" si="45"/>
        <v>173.8</v>
      </c>
      <c r="R180" s="163"/>
      <c r="T180" s="496"/>
    </row>
    <row r="181" spans="1:20" ht="15" customHeight="1">
      <c r="A181" s="497">
        <v>20</v>
      </c>
      <c r="B181" s="391" t="s">
        <v>315</v>
      </c>
      <c r="C181" s="466"/>
      <c r="D181" s="461"/>
      <c r="E181" s="456"/>
      <c r="F181" s="456"/>
      <c r="G181" s="456"/>
      <c r="H181" s="456"/>
      <c r="I181" s="464"/>
      <c r="J181" s="464"/>
      <c r="K181" s="464"/>
      <c r="L181" s="464"/>
      <c r="M181" s="464"/>
      <c r="N181" s="464"/>
      <c r="O181" s="464"/>
      <c r="P181" s="464"/>
      <c r="Q181" s="1204"/>
      <c r="R181" s="509"/>
      <c r="S181" s="333"/>
      <c r="T181" s="496"/>
    </row>
    <row r="182" spans="1:20" ht="15" customHeight="1">
      <c r="A182" s="533" t="s">
        <v>316</v>
      </c>
      <c r="B182" s="173" t="s">
        <v>317</v>
      </c>
      <c r="C182" s="37" t="s">
        <v>68</v>
      </c>
      <c r="D182" s="38">
        <v>150</v>
      </c>
      <c r="E182" s="143">
        <v>190</v>
      </c>
      <c r="F182" s="143">
        <v>190</v>
      </c>
      <c r="G182" s="143">
        <v>200</v>
      </c>
      <c r="H182" s="143">
        <v>273</v>
      </c>
      <c r="I182" s="279">
        <v>287</v>
      </c>
      <c r="J182" s="279">
        <f>I182</f>
        <v>287</v>
      </c>
      <c r="K182" s="279">
        <f t="shared" si="42"/>
        <v>287</v>
      </c>
      <c r="L182" s="279">
        <f t="shared" si="43"/>
        <v>287</v>
      </c>
      <c r="M182" s="279">
        <f t="shared" si="44"/>
        <v>315.70000000000005</v>
      </c>
      <c r="N182" s="279">
        <f t="shared" si="41"/>
        <v>315.70000000000005</v>
      </c>
      <c r="O182" s="279">
        <f t="shared" si="47"/>
        <v>315.70000000000005</v>
      </c>
      <c r="P182" s="279">
        <f t="shared" si="45"/>
        <v>315.70000000000005</v>
      </c>
      <c r="Q182" s="1206">
        <f t="shared" ref="Q182:Q193" si="52">P182</f>
        <v>315.70000000000005</v>
      </c>
      <c r="R182" s="163"/>
      <c r="S182" s="333"/>
      <c r="T182" s="496"/>
    </row>
    <row r="183" spans="1:20" ht="15" customHeight="1">
      <c r="A183" s="533" t="s">
        <v>318</v>
      </c>
      <c r="B183" s="173" t="s">
        <v>319</v>
      </c>
      <c r="C183" s="37" t="s">
        <v>88</v>
      </c>
      <c r="D183" s="38">
        <v>100</v>
      </c>
      <c r="E183" s="143">
        <v>160</v>
      </c>
      <c r="F183" s="143">
        <v>160</v>
      </c>
      <c r="G183" s="143">
        <v>168</v>
      </c>
      <c r="H183" s="143">
        <v>178.5</v>
      </c>
      <c r="I183" s="279">
        <v>187</v>
      </c>
      <c r="J183" s="279">
        <f>I183</f>
        <v>187</v>
      </c>
      <c r="K183" s="279">
        <f t="shared" si="42"/>
        <v>187</v>
      </c>
      <c r="L183" s="279">
        <f t="shared" si="43"/>
        <v>187</v>
      </c>
      <c r="M183" s="279">
        <f t="shared" si="44"/>
        <v>205.70000000000002</v>
      </c>
      <c r="N183" s="279">
        <f t="shared" si="41"/>
        <v>205.70000000000002</v>
      </c>
      <c r="O183" s="279">
        <f t="shared" si="47"/>
        <v>205.70000000000002</v>
      </c>
      <c r="P183" s="279">
        <f t="shared" si="45"/>
        <v>205.70000000000002</v>
      </c>
      <c r="Q183" s="1206">
        <f t="shared" si="52"/>
        <v>205.70000000000002</v>
      </c>
      <c r="R183" s="163"/>
      <c r="S183" s="333"/>
      <c r="T183" s="496"/>
    </row>
    <row r="184" spans="1:20" ht="15" customHeight="1">
      <c r="A184" s="538" t="s">
        <v>320</v>
      </c>
      <c r="B184" s="165" t="s">
        <v>321</v>
      </c>
      <c r="C184" s="339"/>
      <c r="D184" s="528"/>
      <c r="E184" s="691"/>
      <c r="F184" s="691"/>
      <c r="G184" s="691"/>
      <c r="H184" s="691"/>
      <c r="I184" s="293"/>
      <c r="J184" s="293"/>
      <c r="K184" s="293"/>
      <c r="L184" s="293"/>
      <c r="M184" s="293"/>
      <c r="N184" s="293"/>
      <c r="O184" s="293"/>
      <c r="P184" s="293"/>
      <c r="Q184" s="1206"/>
      <c r="R184" s="529"/>
      <c r="S184" s="333"/>
      <c r="T184" s="496"/>
    </row>
    <row r="185" spans="1:20" ht="15" customHeight="1">
      <c r="A185" s="534" t="s">
        <v>322</v>
      </c>
      <c r="B185" s="342" t="s">
        <v>323</v>
      </c>
      <c r="C185" s="37" t="s">
        <v>190</v>
      </c>
      <c r="D185" s="38">
        <v>550</v>
      </c>
      <c r="E185" s="143">
        <v>550</v>
      </c>
      <c r="F185" s="143">
        <v>550</v>
      </c>
      <c r="G185" s="143">
        <v>577</v>
      </c>
      <c r="H185" s="143">
        <v>598.5</v>
      </c>
      <c r="I185" s="279">
        <v>628</v>
      </c>
      <c r="J185" s="279">
        <f>I185</f>
        <v>628</v>
      </c>
      <c r="K185" s="279">
        <f t="shared" si="42"/>
        <v>628</v>
      </c>
      <c r="L185" s="279">
        <f t="shared" si="43"/>
        <v>628</v>
      </c>
      <c r="M185" s="279">
        <f t="shared" si="44"/>
        <v>690.80000000000007</v>
      </c>
      <c r="N185" s="279">
        <f t="shared" si="41"/>
        <v>690.80000000000007</v>
      </c>
      <c r="O185" s="279">
        <f t="shared" si="47"/>
        <v>690.80000000000007</v>
      </c>
      <c r="P185" s="279">
        <f t="shared" si="45"/>
        <v>690.80000000000007</v>
      </c>
      <c r="Q185" s="1206">
        <f t="shared" si="52"/>
        <v>690.80000000000007</v>
      </c>
      <c r="R185" s="163"/>
      <c r="S185" s="333"/>
      <c r="T185" s="496"/>
    </row>
    <row r="186" spans="1:20" ht="15" customHeight="1">
      <c r="A186" s="534" t="s">
        <v>324</v>
      </c>
      <c r="B186" s="342" t="s">
        <v>325</v>
      </c>
      <c r="C186" s="37" t="s">
        <v>190</v>
      </c>
      <c r="D186" s="38">
        <v>650</v>
      </c>
      <c r="E186" s="143">
        <v>650</v>
      </c>
      <c r="F186" s="143">
        <v>650</v>
      </c>
      <c r="G186" s="143">
        <v>680</v>
      </c>
      <c r="H186" s="143">
        <v>678.30000000000007</v>
      </c>
      <c r="I186" s="279">
        <v>712</v>
      </c>
      <c r="J186" s="279">
        <f t="shared" ref="J186:J193" si="53">I186</f>
        <v>712</v>
      </c>
      <c r="K186" s="279">
        <f t="shared" si="42"/>
        <v>712</v>
      </c>
      <c r="L186" s="279">
        <f t="shared" si="43"/>
        <v>712</v>
      </c>
      <c r="M186" s="279">
        <f t="shared" si="44"/>
        <v>783.2</v>
      </c>
      <c r="N186" s="279">
        <f t="shared" si="41"/>
        <v>783.2</v>
      </c>
      <c r="O186" s="279">
        <f t="shared" si="47"/>
        <v>783.2</v>
      </c>
      <c r="P186" s="279">
        <f t="shared" si="45"/>
        <v>783.2</v>
      </c>
      <c r="Q186" s="1206">
        <f t="shared" si="52"/>
        <v>783.2</v>
      </c>
      <c r="R186" s="163"/>
      <c r="S186" s="333"/>
      <c r="T186" s="496"/>
    </row>
    <row r="187" spans="1:20" ht="15" customHeight="1">
      <c r="A187" s="535" t="s">
        <v>326</v>
      </c>
      <c r="B187" s="536" t="s">
        <v>327</v>
      </c>
      <c r="C187" s="37" t="s">
        <v>190</v>
      </c>
      <c r="D187" s="38"/>
      <c r="E187" s="143"/>
      <c r="F187" s="143"/>
      <c r="G187" s="143"/>
      <c r="H187" s="143">
        <v>955.5</v>
      </c>
      <c r="I187" s="279">
        <v>1003</v>
      </c>
      <c r="J187" s="279">
        <f t="shared" si="53"/>
        <v>1003</v>
      </c>
      <c r="K187" s="279">
        <f t="shared" si="42"/>
        <v>1003</v>
      </c>
      <c r="L187" s="279">
        <f t="shared" si="43"/>
        <v>1003</v>
      </c>
      <c r="M187" s="279">
        <f t="shared" si="44"/>
        <v>1103.3000000000002</v>
      </c>
      <c r="N187" s="279">
        <f t="shared" si="41"/>
        <v>1103.3000000000002</v>
      </c>
      <c r="O187" s="279">
        <f t="shared" si="47"/>
        <v>1103.3000000000002</v>
      </c>
      <c r="P187" s="279">
        <f t="shared" si="45"/>
        <v>1103.3000000000002</v>
      </c>
      <c r="Q187" s="1206">
        <f t="shared" si="52"/>
        <v>1103.3000000000002</v>
      </c>
      <c r="R187" s="163"/>
      <c r="S187" s="333"/>
      <c r="T187" s="496"/>
    </row>
    <row r="188" spans="1:20" ht="15" customHeight="1">
      <c r="A188" s="535" t="s">
        <v>328</v>
      </c>
      <c r="B188" s="173" t="s">
        <v>329</v>
      </c>
      <c r="C188" s="37" t="s">
        <v>190</v>
      </c>
      <c r="D188" s="38">
        <v>750</v>
      </c>
      <c r="E188" s="143">
        <v>750</v>
      </c>
      <c r="F188" s="143">
        <v>750</v>
      </c>
      <c r="G188" s="143">
        <v>785</v>
      </c>
      <c r="H188" s="143">
        <v>798</v>
      </c>
      <c r="I188" s="279">
        <v>838</v>
      </c>
      <c r="J188" s="279">
        <f t="shared" si="53"/>
        <v>838</v>
      </c>
      <c r="K188" s="279">
        <f t="shared" si="42"/>
        <v>838</v>
      </c>
      <c r="L188" s="279">
        <f t="shared" si="43"/>
        <v>838</v>
      </c>
      <c r="M188" s="279">
        <f t="shared" si="44"/>
        <v>921.80000000000007</v>
      </c>
      <c r="N188" s="279">
        <f t="shared" si="41"/>
        <v>921.80000000000007</v>
      </c>
      <c r="O188" s="279">
        <f t="shared" si="47"/>
        <v>921.80000000000007</v>
      </c>
      <c r="P188" s="279">
        <f t="shared" si="45"/>
        <v>921.80000000000007</v>
      </c>
      <c r="Q188" s="1206">
        <f t="shared" si="52"/>
        <v>921.80000000000007</v>
      </c>
      <c r="R188" s="163"/>
      <c r="S188" s="333"/>
      <c r="T188" s="496"/>
    </row>
    <row r="189" spans="1:20" ht="15" customHeight="1">
      <c r="A189" s="535" t="s">
        <v>330</v>
      </c>
      <c r="B189" s="173" t="s">
        <v>331</v>
      </c>
      <c r="C189" s="37" t="s">
        <v>189</v>
      </c>
      <c r="D189" s="38">
        <v>22</v>
      </c>
      <c r="E189" s="143">
        <v>22</v>
      </c>
      <c r="F189" s="143">
        <v>22</v>
      </c>
      <c r="G189" s="143">
        <v>23</v>
      </c>
      <c r="H189" s="143">
        <v>26.25</v>
      </c>
      <c r="I189" s="279">
        <v>28</v>
      </c>
      <c r="J189" s="279">
        <f t="shared" si="53"/>
        <v>28</v>
      </c>
      <c r="K189" s="279">
        <f t="shared" si="42"/>
        <v>28</v>
      </c>
      <c r="L189" s="279">
        <f t="shared" si="43"/>
        <v>28</v>
      </c>
      <c r="M189" s="279">
        <f t="shared" si="44"/>
        <v>30.800000000000004</v>
      </c>
      <c r="N189" s="279">
        <f t="shared" si="41"/>
        <v>30.800000000000004</v>
      </c>
      <c r="O189" s="279">
        <f t="shared" si="47"/>
        <v>30.800000000000004</v>
      </c>
      <c r="P189" s="279">
        <f t="shared" si="45"/>
        <v>30.800000000000004</v>
      </c>
      <c r="Q189" s="1206">
        <f t="shared" si="52"/>
        <v>30.800000000000004</v>
      </c>
      <c r="R189" s="163"/>
      <c r="S189" s="333"/>
      <c r="T189" s="496"/>
    </row>
    <row r="190" spans="1:20" ht="15" customHeight="1">
      <c r="A190" s="535" t="s">
        <v>332</v>
      </c>
      <c r="B190" s="173" t="s">
        <v>333</v>
      </c>
      <c r="C190" s="37" t="s">
        <v>334</v>
      </c>
      <c r="D190" s="38">
        <v>40</v>
      </c>
      <c r="E190" s="143">
        <v>50</v>
      </c>
      <c r="F190" s="143">
        <v>75</v>
      </c>
      <c r="G190" s="143">
        <v>78</v>
      </c>
      <c r="H190" s="143">
        <v>94.5</v>
      </c>
      <c r="I190" s="279">
        <v>99</v>
      </c>
      <c r="J190" s="279">
        <f t="shared" si="53"/>
        <v>99</v>
      </c>
      <c r="K190" s="279">
        <f t="shared" si="42"/>
        <v>99</v>
      </c>
      <c r="L190" s="279">
        <f t="shared" si="43"/>
        <v>99</v>
      </c>
      <c r="M190" s="279">
        <f t="shared" si="44"/>
        <v>108.9</v>
      </c>
      <c r="N190" s="279">
        <f t="shared" si="41"/>
        <v>108.9</v>
      </c>
      <c r="O190" s="279">
        <f t="shared" si="47"/>
        <v>108.9</v>
      </c>
      <c r="P190" s="279">
        <f t="shared" si="45"/>
        <v>108.9</v>
      </c>
      <c r="Q190" s="1206">
        <f t="shared" si="52"/>
        <v>108.9</v>
      </c>
      <c r="R190" s="163"/>
      <c r="S190" s="333"/>
      <c r="T190" s="496"/>
    </row>
    <row r="191" spans="1:20" ht="15" customHeight="1">
      <c r="A191" s="535" t="s">
        <v>335</v>
      </c>
      <c r="B191" s="173" t="s">
        <v>336</v>
      </c>
      <c r="C191" s="37" t="s">
        <v>190</v>
      </c>
      <c r="D191" s="38">
        <v>800</v>
      </c>
      <c r="E191" s="143"/>
      <c r="F191" s="143"/>
      <c r="G191" s="143">
        <v>120</v>
      </c>
      <c r="H191" s="143">
        <v>141.75</v>
      </c>
      <c r="I191" s="279">
        <v>149</v>
      </c>
      <c r="J191" s="279">
        <f t="shared" si="53"/>
        <v>149</v>
      </c>
      <c r="K191" s="279">
        <f t="shared" si="42"/>
        <v>149</v>
      </c>
      <c r="L191" s="279">
        <f t="shared" si="43"/>
        <v>149</v>
      </c>
      <c r="M191" s="279">
        <f t="shared" si="44"/>
        <v>163.9</v>
      </c>
      <c r="N191" s="279">
        <f t="shared" si="41"/>
        <v>163.9</v>
      </c>
      <c r="O191" s="279">
        <f t="shared" si="47"/>
        <v>163.9</v>
      </c>
      <c r="P191" s="279">
        <f t="shared" si="45"/>
        <v>163.9</v>
      </c>
      <c r="Q191" s="1206">
        <f t="shared" si="52"/>
        <v>163.9</v>
      </c>
      <c r="R191" s="163"/>
      <c r="S191" s="333"/>
      <c r="T191" s="496"/>
    </row>
    <row r="192" spans="1:20" ht="15" customHeight="1">
      <c r="A192" s="535" t="s">
        <v>337</v>
      </c>
      <c r="B192" s="173" t="s">
        <v>338</v>
      </c>
      <c r="C192" s="37" t="s">
        <v>88</v>
      </c>
      <c r="D192" s="38">
        <v>8</v>
      </c>
      <c r="E192" s="143">
        <v>8.5</v>
      </c>
      <c r="F192" s="143">
        <v>8.5</v>
      </c>
      <c r="G192" s="143">
        <v>9</v>
      </c>
      <c r="H192" s="143">
        <v>12.600000000000001</v>
      </c>
      <c r="I192" s="279">
        <v>13</v>
      </c>
      <c r="J192" s="279">
        <f t="shared" si="53"/>
        <v>13</v>
      </c>
      <c r="K192" s="279">
        <f t="shared" si="42"/>
        <v>13</v>
      </c>
      <c r="L192" s="279">
        <f t="shared" si="43"/>
        <v>13</v>
      </c>
      <c r="M192" s="279">
        <f t="shared" si="44"/>
        <v>14.3</v>
      </c>
      <c r="N192" s="279">
        <f t="shared" si="41"/>
        <v>14.3</v>
      </c>
      <c r="O192" s="279">
        <f t="shared" si="47"/>
        <v>14.3</v>
      </c>
      <c r="P192" s="279">
        <f t="shared" si="45"/>
        <v>14.3</v>
      </c>
      <c r="Q192" s="1206">
        <f t="shared" si="52"/>
        <v>14.3</v>
      </c>
      <c r="R192" s="163"/>
      <c r="S192" s="333"/>
      <c r="T192" s="496"/>
    </row>
    <row r="193" spans="1:20" ht="15" customHeight="1">
      <c r="A193" s="535" t="s">
        <v>339</v>
      </c>
      <c r="B193" s="173" t="s">
        <v>340</v>
      </c>
      <c r="C193" s="37" t="s">
        <v>190</v>
      </c>
      <c r="D193" s="38">
        <v>1000</v>
      </c>
      <c r="E193" s="143">
        <v>1050</v>
      </c>
      <c r="F193" s="143">
        <v>1050</v>
      </c>
      <c r="G193" s="143">
        <v>1100</v>
      </c>
      <c r="H193" s="143">
        <v>1785</v>
      </c>
      <c r="I193" s="279">
        <v>1874</v>
      </c>
      <c r="J193" s="279">
        <f t="shared" si="53"/>
        <v>1874</v>
      </c>
      <c r="K193" s="279">
        <f t="shared" si="42"/>
        <v>1874</v>
      </c>
      <c r="L193" s="279">
        <f t="shared" si="43"/>
        <v>1874</v>
      </c>
      <c r="M193" s="279">
        <f t="shared" si="44"/>
        <v>2061.4</v>
      </c>
      <c r="N193" s="279">
        <f t="shared" ref="N193:N216" si="54">M193</f>
        <v>2061.4</v>
      </c>
      <c r="O193" s="279">
        <f t="shared" si="47"/>
        <v>2061.4</v>
      </c>
      <c r="P193" s="279">
        <f t="shared" si="45"/>
        <v>2061.4</v>
      </c>
      <c r="Q193" s="1206">
        <f t="shared" si="52"/>
        <v>2061.4</v>
      </c>
      <c r="R193" s="163"/>
      <c r="S193" s="333"/>
      <c r="T193" s="496"/>
    </row>
    <row r="194" spans="1:20" ht="15" customHeight="1">
      <c r="A194" s="434">
        <v>21</v>
      </c>
      <c r="B194" s="391" t="s">
        <v>341</v>
      </c>
      <c r="C194" s="445"/>
      <c r="D194" s="389"/>
      <c r="E194" s="464"/>
      <c r="F194" s="464"/>
      <c r="G194" s="464"/>
      <c r="H194" s="464"/>
      <c r="I194" s="464"/>
      <c r="J194" s="464"/>
      <c r="K194" s="464"/>
      <c r="L194" s="464"/>
      <c r="M194" s="464"/>
      <c r="N194" s="464"/>
      <c r="O194" s="464"/>
      <c r="P194" s="464"/>
      <c r="Q194" s="1204"/>
      <c r="R194" s="509"/>
      <c r="S194" s="333"/>
      <c r="T194" s="496"/>
    </row>
    <row r="195" spans="1:20" ht="15" customHeight="1">
      <c r="A195" s="189" t="s">
        <v>342</v>
      </c>
      <c r="B195" s="173" t="s">
        <v>343</v>
      </c>
      <c r="C195" s="37" t="s">
        <v>190</v>
      </c>
      <c r="D195" s="38"/>
      <c r="E195" s="143"/>
      <c r="F195" s="143"/>
      <c r="G195" s="143"/>
      <c r="H195" s="143">
        <v>1995</v>
      </c>
      <c r="I195" s="279">
        <v>2095</v>
      </c>
      <c r="J195" s="279">
        <f>I195</f>
        <v>2095</v>
      </c>
      <c r="K195" s="279">
        <f t="shared" si="42"/>
        <v>2095</v>
      </c>
      <c r="L195" s="279">
        <f t="shared" si="43"/>
        <v>2095</v>
      </c>
      <c r="M195" s="279">
        <f t="shared" si="44"/>
        <v>2304.5</v>
      </c>
      <c r="N195" s="279">
        <f t="shared" si="54"/>
        <v>2304.5</v>
      </c>
      <c r="O195" s="279">
        <f t="shared" si="47"/>
        <v>2304.5</v>
      </c>
      <c r="P195" s="279">
        <f t="shared" si="45"/>
        <v>2304.5</v>
      </c>
      <c r="Q195" s="1206">
        <f t="shared" ref="Q195:Q197" si="55">P195</f>
        <v>2304.5</v>
      </c>
      <c r="R195" s="163"/>
      <c r="S195" s="333"/>
      <c r="T195" s="496"/>
    </row>
    <row r="196" spans="1:20" ht="15" customHeight="1">
      <c r="A196" s="189" t="s">
        <v>344</v>
      </c>
      <c r="B196" s="173" t="s">
        <v>345</v>
      </c>
      <c r="C196" s="37" t="s">
        <v>190</v>
      </c>
      <c r="D196" s="38"/>
      <c r="E196" s="143"/>
      <c r="F196" s="143"/>
      <c r="G196" s="143"/>
      <c r="H196" s="143">
        <v>1501.5</v>
      </c>
      <c r="I196" s="279">
        <v>1577</v>
      </c>
      <c r="J196" s="279">
        <f t="shared" ref="J196:J197" si="56">I196</f>
        <v>1577</v>
      </c>
      <c r="K196" s="279">
        <f t="shared" si="42"/>
        <v>1577</v>
      </c>
      <c r="L196" s="279">
        <f t="shared" si="43"/>
        <v>1577</v>
      </c>
      <c r="M196" s="279">
        <f t="shared" si="44"/>
        <v>1734.7</v>
      </c>
      <c r="N196" s="279">
        <f t="shared" si="54"/>
        <v>1734.7</v>
      </c>
      <c r="O196" s="279">
        <f t="shared" si="47"/>
        <v>1734.7</v>
      </c>
      <c r="P196" s="279">
        <f t="shared" si="45"/>
        <v>1734.7</v>
      </c>
      <c r="Q196" s="1206">
        <f t="shared" si="55"/>
        <v>1734.7</v>
      </c>
      <c r="R196" s="163"/>
      <c r="S196" s="333"/>
      <c r="T196" s="496"/>
    </row>
    <row r="197" spans="1:20" ht="15" customHeight="1">
      <c r="A197" s="189" t="s">
        <v>346</v>
      </c>
      <c r="B197" s="173" t="s">
        <v>347</v>
      </c>
      <c r="C197" s="37" t="s">
        <v>190</v>
      </c>
      <c r="D197" s="38"/>
      <c r="E197" s="143"/>
      <c r="F197" s="143"/>
      <c r="G197" s="143"/>
      <c r="H197" s="143">
        <v>1197</v>
      </c>
      <c r="I197" s="279">
        <v>1257</v>
      </c>
      <c r="J197" s="279">
        <f t="shared" si="56"/>
        <v>1257</v>
      </c>
      <c r="K197" s="279">
        <f t="shared" si="42"/>
        <v>1257</v>
      </c>
      <c r="L197" s="279">
        <f t="shared" si="43"/>
        <v>1257</v>
      </c>
      <c r="M197" s="279">
        <f t="shared" si="44"/>
        <v>1382.7</v>
      </c>
      <c r="N197" s="279">
        <f t="shared" si="54"/>
        <v>1382.7</v>
      </c>
      <c r="O197" s="279">
        <f t="shared" si="47"/>
        <v>1382.7</v>
      </c>
      <c r="P197" s="279">
        <f t="shared" si="45"/>
        <v>1382.7</v>
      </c>
      <c r="Q197" s="1206">
        <f t="shared" si="55"/>
        <v>1382.7</v>
      </c>
      <c r="R197" s="163"/>
      <c r="S197" s="333"/>
      <c r="T197" s="496"/>
    </row>
    <row r="198" spans="1:20" ht="15" customHeight="1">
      <c r="A198" s="434">
        <v>22</v>
      </c>
      <c r="B198" s="375" t="s">
        <v>348</v>
      </c>
      <c r="C198" s="466"/>
      <c r="D198" s="461"/>
      <c r="E198" s="456"/>
      <c r="F198" s="456"/>
      <c r="G198" s="456"/>
      <c r="H198" s="456"/>
      <c r="I198" s="464"/>
      <c r="J198" s="464"/>
      <c r="K198" s="464"/>
      <c r="L198" s="464"/>
      <c r="M198" s="464"/>
      <c r="N198" s="464"/>
      <c r="O198" s="464"/>
      <c r="P198" s="464"/>
      <c r="Q198" s="1204"/>
      <c r="R198" s="509"/>
      <c r="S198" s="333"/>
      <c r="T198" s="496"/>
    </row>
    <row r="199" spans="1:20" ht="15" customHeight="1">
      <c r="A199" s="189" t="s">
        <v>21</v>
      </c>
      <c r="B199" s="72" t="s">
        <v>349</v>
      </c>
      <c r="C199" s="37" t="s">
        <v>294</v>
      </c>
      <c r="D199" s="38">
        <v>824</v>
      </c>
      <c r="E199" s="143">
        <v>935</v>
      </c>
      <c r="F199" s="143">
        <v>1070</v>
      </c>
      <c r="G199" s="143">
        <v>1116</v>
      </c>
      <c r="H199" s="143">
        <v>1288.3500000000001</v>
      </c>
      <c r="I199" s="279">
        <v>1353</v>
      </c>
      <c r="J199" s="279">
        <f>I199</f>
        <v>1353</v>
      </c>
      <c r="K199" s="279">
        <f t="shared" si="42"/>
        <v>1353</v>
      </c>
      <c r="L199" s="279">
        <f t="shared" si="43"/>
        <v>1353</v>
      </c>
      <c r="M199" s="279">
        <f t="shared" si="44"/>
        <v>1488.3000000000002</v>
      </c>
      <c r="N199" s="279">
        <f t="shared" si="54"/>
        <v>1488.3000000000002</v>
      </c>
      <c r="O199" s="279">
        <f t="shared" si="47"/>
        <v>1488.3000000000002</v>
      </c>
      <c r="P199" s="279">
        <f t="shared" si="45"/>
        <v>1488.3000000000002</v>
      </c>
      <c r="Q199" s="1206">
        <f t="shared" ref="Q199:Q216" si="57">P199</f>
        <v>1488.3000000000002</v>
      </c>
      <c r="R199" s="163"/>
      <c r="S199" s="333"/>
      <c r="T199" s="496"/>
    </row>
    <row r="200" spans="1:20" ht="15" customHeight="1">
      <c r="A200" s="189" t="s">
        <v>23</v>
      </c>
      <c r="B200" s="72" t="s">
        <v>350</v>
      </c>
      <c r="C200" s="37" t="s">
        <v>294</v>
      </c>
      <c r="D200" s="38">
        <v>900</v>
      </c>
      <c r="E200" s="143">
        <v>900</v>
      </c>
      <c r="F200" s="143">
        <v>1010</v>
      </c>
      <c r="G200" s="143">
        <v>1053</v>
      </c>
      <c r="H200" s="143">
        <v>1215.9000000000001</v>
      </c>
      <c r="I200" s="279">
        <v>1277</v>
      </c>
      <c r="J200" s="279">
        <f t="shared" ref="J200:J216" si="58">I200</f>
        <v>1277</v>
      </c>
      <c r="K200" s="279">
        <f t="shared" si="42"/>
        <v>1277</v>
      </c>
      <c r="L200" s="279">
        <f t="shared" si="43"/>
        <v>1277</v>
      </c>
      <c r="M200" s="279">
        <f t="shared" si="44"/>
        <v>1404.7</v>
      </c>
      <c r="N200" s="279">
        <f t="shared" si="54"/>
        <v>1404.7</v>
      </c>
      <c r="O200" s="279">
        <f t="shared" si="47"/>
        <v>1404.7</v>
      </c>
      <c r="P200" s="279">
        <f t="shared" si="45"/>
        <v>1404.7</v>
      </c>
      <c r="Q200" s="1206">
        <f t="shared" si="57"/>
        <v>1404.7</v>
      </c>
      <c r="R200" s="163"/>
      <c r="S200" s="333"/>
      <c r="T200" s="496"/>
    </row>
    <row r="201" spans="1:20" ht="15" customHeight="1">
      <c r="A201" s="189" t="s">
        <v>41</v>
      </c>
      <c r="B201" s="72" t="s">
        <v>351</v>
      </c>
      <c r="C201" s="37" t="s">
        <v>294</v>
      </c>
      <c r="D201" s="38">
        <v>105</v>
      </c>
      <c r="E201" s="143">
        <v>142</v>
      </c>
      <c r="F201" s="143">
        <v>148</v>
      </c>
      <c r="G201" s="143">
        <v>154</v>
      </c>
      <c r="H201" s="143">
        <v>177.45000000000002</v>
      </c>
      <c r="I201" s="279">
        <v>186</v>
      </c>
      <c r="J201" s="279">
        <f t="shared" si="58"/>
        <v>186</v>
      </c>
      <c r="K201" s="279">
        <f t="shared" si="42"/>
        <v>186</v>
      </c>
      <c r="L201" s="279">
        <f t="shared" si="43"/>
        <v>186</v>
      </c>
      <c r="M201" s="279">
        <f t="shared" si="44"/>
        <v>204.60000000000002</v>
      </c>
      <c r="N201" s="279">
        <f t="shared" si="54"/>
        <v>204.60000000000002</v>
      </c>
      <c r="O201" s="279">
        <f t="shared" si="47"/>
        <v>204.60000000000002</v>
      </c>
      <c r="P201" s="279">
        <f t="shared" ref="P201:P216" si="59">O201</f>
        <v>204.60000000000002</v>
      </c>
      <c r="Q201" s="1206">
        <f t="shared" si="57"/>
        <v>204.60000000000002</v>
      </c>
      <c r="R201" s="163"/>
      <c r="S201" s="333"/>
      <c r="T201" s="496"/>
    </row>
    <row r="202" spans="1:20" ht="15" customHeight="1">
      <c r="A202" s="189" t="s">
        <v>43</v>
      </c>
      <c r="B202" s="72" t="s">
        <v>352</v>
      </c>
      <c r="C202" s="37" t="s">
        <v>294</v>
      </c>
      <c r="D202" s="38">
        <v>225</v>
      </c>
      <c r="E202" s="143">
        <v>550</v>
      </c>
      <c r="F202" s="143">
        <v>550</v>
      </c>
      <c r="G202" s="143">
        <v>574</v>
      </c>
      <c r="H202" s="143">
        <v>662.55000000000007</v>
      </c>
      <c r="I202" s="279">
        <v>696</v>
      </c>
      <c r="J202" s="279">
        <f t="shared" si="58"/>
        <v>696</v>
      </c>
      <c r="K202" s="279">
        <f t="shared" si="42"/>
        <v>696</v>
      </c>
      <c r="L202" s="279">
        <f t="shared" si="43"/>
        <v>696</v>
      </c>
      <c r="M202" s="279">
        <f t="shared" si="44"/>
        <v>765.6</v>
      </c>
      <c r="N202" s="279">
        <f t="shared" si="54"/>
        <v>765.6</v>
      </c>
      <c r="O202" s="279">
        <f t="shared" si="47"/>
        <v>765.6</v>
      </c>
      <c r="P202" s="279">
        <f t="shared" si="59"/>
        <v>765.6</v>
      </c>
      <c r="Q202" s="1206">
        <f t="shared" si="57"/>
        <v>765.6</v>
      </c>
      <c r="R202" s="163"/>
      <c r="S202" s="333"/>
      <c r="T202" s="496"/>
    </row>
    <row r="203" spans="1:20" ht="15" customHeight="1">
      <c r="A203" s="537" t="s">
        <v>56</v>
      </c>
      <c r="B203" s="72" t="s">
        <v>353</v>
      </c>
      <c r="C203" s="37" t="s">
        <v>294</v>
      </c>
      <c r="D203" s="38">
        <v>180</v>
      </c>
      <c r="E203" s="143">
        <v>200</v>
      </c>
      <c r="F203" s="143">
        <v>231</v>
      </c>
      <c r="G203" s="143">
        <v>241</v>
      </c>
      <c r="H203" s="143">
        <v>278.25</v>
      </c>
      <c r="I203" s="279">
        <v>292</v>
      </c>
      <c r="J203" s="279">
        <f t="shared" si="58"/>
        <v>292</v>
      </c>
      <c r="K203" s="279">
        <f t="shared" ref="K203:K216" si="60">J203</f>
        <v>292</v>
      </c>
      <c r="L203" s="279">
        <f t="shared" ref="L203:L216" si="61">K203</f>
        <v>292</v>
      </c>
      <c r="M203" s="279">
        <f t="shared" ref="M203:M216" si="62">L203*1.1</f>
        <v>321.20000000000005</v>
      </c>
      <c r="N203" s="279">
        <f t="shared" si="54"/>
        <v>321.20000000000005</v>
      </c>
      <c r="O203" s="279">
        <f t="shared" si="47"/>
        <v>321.20000000000005</v>
      </c>
      <c r="P203" s="279">
        <f t="shared" si="59"/>
        <v>321.20000000000005</v>
      </c>
      <c r="Q203" s="1206">
        <f t="shared" si="57"/>
        <v>321.20000000000005</v>
      </c>
      <c r="R203" s="163"/>
      <c r="S203" s="333"/>
      <c r="T203" s="496"/>
    </row>
    <row r="204" spans="1:20" ht="15" customHeight="1">
      <c r="A204" s="189" t="s">
        <v>57</v>
      </c>
      <c r="B204" s="72" t="s">
        <v>354</v>
      </c>
      <c r="C204" s="37" t="s">
        <v>294</v>
      </c>
      <c r="D204" s="38">
        <v>65</v>
      </c>
      <c r="E204" s="143">
        <v>66</v>
      </c>
      <c r="F204" s="143">
        <v>77</v>
      </c>
      <c r="G204" s="143">
        <v>80</v>
      </c>
      <c r="H204" s="143">
        <v>92.4</v>
      </c>
      <c r="I204" s="279">
        <v>97</v>
      </c>
      <c r="J204" s="279">
        <f t="shared" si="58"/>
        <v>97</v>
      </c>
      <c r="K204" s="279">
        <f t="shared" si="60"/>
        <v>97</v>
      </c>
      <c r="L204" s="279">
        <f t="shared" si="61"/>
        <v>97</v>
      </c>
      <c r="M204" s="279">
        <f t="shared" si="62"/>
        <v>106.7</v>
      </c>
      <c r="N204" s="279">
        <f t="shared" si="54"/>
        <v>106.7</v>
      </c>
      <c r="O204" s="279">
        <f t="shared" si="47"/>
        <v>106.7</v>
      </c>
      <c r="P204" s="279">
        <f t="shared" si="59"/>
        <v>106.7</v>
      </c>
      <c r="Q204" s="1206">
        <f t="shared" si="57"/>
        <v>106.7</v>
      </c>
      <c r="R204" s="163"/>
      <c r="S204" s="333"/>
      <c r="T204" s="496"/>
    </row>
    <row r="205" spans="1:20" ht="15" customHeight="1">
      <c r="A205" s="69">
        <v>23</v>
      </c>
      <c r="B205" s="72" t="s">
        <v>355</v>
      </c>
      <c r="C205" s="310" t="s">
        <v>356</v>
      </c>
      <c r="D205" s="38">
        <v>295</v>
      </c>
      <c r="E205" s="143">
        <v>300</v>
      </c>
      <c r="F205" s="143">
        <v>305</v>
      </c>
      <c r="G205" s="143">
        <v>305</v>
      </c>
      <c r="H205" s="143">
        <v>325.5</v>
      </c>
      <c r="I205" s="279">
        <v>342</v>
      </c>
      <c r="J205" s="279">
        <f t="shared" si="58"/>
        <v>342</v>
      </c>
      <c r="K205" s="279">
        <f t="shared" si="60"/>
        <v>342</v>
      </c>
      <c r="L205" s="279">
        <f t="shared" si="61"/>
        <v>342</v>
      </c>
      <c r="M205" s="279">
        <f t="shared" si="62"/>
        <v>376.20000000000005</v>
      </c>
      <c r="N205" s="279">
        <f t="shared" si="54"/>
        <v>376.20000000000005</v>
      </c>
      <c r="O205" s="279">
        <f t="shared" si="47"/>
        <v>376.20000000000005</v>
      </c>
      <c r="P205" s="279">
        <f t="shared" si="59"/>
        <v>376.20000000000005</v>
      </c>
      <c r="Q205" s="1206">
        <f t="shared" si="57"/>
        <v>376.20000000000005</v>
      </c>
      <c r="R205" s="163"/>
      <c r="S205" s="333"/>
      <c r="T205" s="496"/>
    </row>
    <row r="206" spans="1:20" ht="15" customHeight="1">
      <c r="A206" s="69">
        <v>24</v>
      </c>
      <c r="B206" s="72" t="s">
        <v>357</v>
      </c>
      <c r="C206" s="310" t="s">
        <v>356</v>
      </c>
      <c r="D206" s="38">
        <v>90</v>
      </c>
      <c r="E206" s="143">
        <v>110</v>
      </c>
      <c r="F206" s="143">
        <v>112</v>
      </c>
      <c r="G206" s="143">
        <v>112</v>
      </c>
      <c r="H206" s="143">
        <v>136.5</v>
      </c>
      <c r="I206" s="279">
        <v>143</v>
      </c>
      <c r="J206" s="279">
        <f t="shared" si="58"/>
        <v>143</v>
      </c>
      <c r="K206" s="279">
        <f t="shared" si="60"/>
        <v>143</v>
      </c>
      <c r="L206" s="279">
        <f t="shared" si="61"/>
        <v>143</v>
      </c>
      <c r="M206" s="279">
        <f t="shared" si="62"/>
        <v>157.30000000000001</v>
      </c>
      <c r="N206" s="279">
        <f t="shared" si="54"/>
        <v>157.30000000000001</v>
      </c>
      <c r="O206" s="279">
        <f t="shared" si="47"/>
        <v>157.30000000000001</v>
      </c>
      <c r="P206" s="279">
        <f t="shared" si="59"/>
        <v>157.30000000000001</v>
      </c>
      <c r="Q206" s="1206">
        <f t="shared" si="57"/>
        <v>157.30000000000001</v>
      </c>
      <c r="R206" s="163"/>
      <c r="S206" s="333"/>
      <c r="T206" s="496"/>
    </row>
    <row r="207" spans="1:20" ht="15" customHeight="1">
      <c r="A207" s="69">
        <v>25</v>
      </c>
      <c r="B207" s="72" t="s">
        <v>358</v>
      </c>
      <c r="C207" s="310" t="s">
        <v>356</v>
      </c>
      <c r="D207" s="38">
        <v>518</v>
      </c>
      <c r="E207" s="143">
        <v>660</v>
      </c>
      <c r="F207" s="143">
        <v>665</v>
      </c>
      <c r="G207" s="143">
        <v>665</v>
      </c>
      <c r="H207" s="143">
        <v>840</v>
      </c>
      <c r="I207" s="279">
        <v>882</v>
      </c>
      <c r="J207" s="279">
        <f t="shared" si="58"/>
        <v>882</v>
      </c>
      <c r="K207" s="279">
        <f t="shared" si="60"/>
        <v>882</v>
      </c>
      <c r="L207" s="279">
        <f t="shared" si="61"/>
        <v>882</v>
      </c>
      <c r="M207" s="279">
        <f t="shared" si="62"/>
        <v>970.2</v>
      </c>
      <c r="N207" s="279">
        <f t="shared" si="54"/>
        <v>970.2</v>
      </c>
      <c r="O207" s="279">
        <f t="shared" si="47"/>
        <v>970.2</v>
      </c>
      <c r="P207" s="279">
        <f t="shared" si="59"/>
        <v>970.2</v>
      </c>
      <c r="Q207" s="1206">
        <f t="shared" si="57"/>
        <v>970.2</v>
      </c>
      <c r="R207" s="163"/>
      <c r="S207" s="333"/>
      <c r="T207" s="496"/>
    </row>
    <row r="208" spans="1:20" ht="15" customHeight="1">
      <c r="A208" s="69">
        <v>26</v>
      </c>
      <c r="B208" s="72" t="s">
        <v>359</v>
      </c>
      <c r="C208" s="310" t="s">
        <v>356</v>
      </c>
      <c r="D208" s="38">
        <v>545</v>
      </c>
      <c r="E208" s="143">
        <v>720</v>
      </c>
      <c r="F208" s="143">
        <v>720</v>
      </c>
      <c r="G208" s="143">
        <v>720</v>
      </c>
      <c r="H208" s="143">
        <v>945</v>
      </c>
      <c r="I208" s="279">
        <v>992</v>
      </c>
      <c r="J208" s="279">
        <f t="shared" si="58"/>
        <v>992</v>
      </c>
      <c r="K208" s="279">
        <f t="shared" si="60"/>
        <v>992</v>
      </c>
      <c r="L208" s="279">
        <f t="shared" si="61"/>
        <v>992</v>
      </c>
      <c r="M208" s="279">
        <f t="shared" si="62"/>
        <v>1091.2</v>
      </c>
      <c r="N208" s="279">
        <f t="shared" si="54"/>
        <v>1091.2</v>
      </c>
      <c r="O208" s="279">
        <f t="shared" si="47"/>
        <v>1091.2</v>
      </c>
      <c r="P208" s="279">
        <f t="shared" si="59"/>
        <v>1091.2</v>
      </c>
      <c r="Q208" s="1206">
        <f t="shared" si="57"/>
        <v>1091.2</v>
      </c>
      <c r="R208" s="163"/>
      <c r="S208" s="333"/>
      <c r="T208" s="496"/>
    </row>
    <row r="209" spans="1:20" ht="15" customHeight="1">
      <c r="A209" s="69">
        <v>27</v>
      </c>
      <c r="B209" s="72" t="s">
        <v>360</v>
      </c>
      <c r="C209" s="310" t="s">
        <v>356</v>
      </c>
      <c r="D209" s="38">
        <v>864</v>
      </c>
      <c r="E209" s="143">
        <v>1950</v>
      </c>
      <c r="F209" s="143">
        <v>1950</v>
      </c>
      <c r="G209" s="143">
        <v>1950</v>
      </c>
      <c r="H209" s="143">
        <v>1627.5</v>
      </c>
      <c r="I209" s="279">
        <v>1709</v>
      </c>
      <c r="J209" s="279">
        <f t="shared" si="58"/>
        <v>1709</v>
      </c>
      <c r="K209" s="279">
        <f t="shared" si="60"/>
        <v>1709</v>
      </c>
      <c r="L209" s="279">
        <f t="shared" si="61"/>
        <v>1709</v>
      </c>
      <c r="M209" s="279">
        <f t="shared" si="62"/>
        <v>1879.9</v>
      </c>
      <c r="N209" s="279">
        <f t="shared" si="54"/>
        <v>1879.9</v>
      </c>
      <c r="O209" s="279">
        <f t="shared" si="47"/>
        <v>1879.9</v>
      </c>
      <c r="P209" s="279">
        <f t="shared" si="59"/>
        <v>1879.9</v>
      </c>
      <c r="Q209" s="1206">
        <f t="shared" si="57"/>
        <v>1879.9</v>
      </c>
      <c r="R209" s="163"/>
      <c r="S209" s="333"/>
      <c r="T209" s="496"/>
    </row>
    <row r="210" spans="1:20" ht="15" customHeight="1">
      <c r="A210" s="69">
        <v>28</v>
      </c>
      <c r="B210" s="72" t="s">
        <v>361</v>
      </c>
      <c r="C210" s="310" t="s">
        <v>356</v>
      </c>
      <c r="D210" s="38">
        <v>518</v>
      </c>
      <c r="E210" s="143">
        <v>600</v>
      </c>
      <c r="F210" s="143">
        <v>600</v>
      </c>
      <c r="G210" s="143">
        <v>600</v>
      </c>
      <c r="H210" s="143">
        <v>735</v>
      </c>
      <c r="I210" s="279">
        <v>772</v>
      </c>
      <c r="J210" s="279">
        <f t="shared" si="58"/>
        <v>772</v>
      </c>
      <c r="K210" s="279">
        <f t="shared" si="60"/>
        <v>772</v>
      </c>
      <c r="L210" s="279">
        <f t="shared" si="61"/>
        <v>772</v>
      </c>
      <c r="M210" s="279">
        <f t="shared" si="62"/>
        <v>849.2</v>
      </c>
      <c r="N210" s="279">
        <f t="shared" si="54"/>
        <v>849.2</v>
      </c>
      <c r="O210" s="279">
        <f t="shared" si="47"/>
        <v>849.2</v>
      </c>
      <c r="P210" s="279">
        <f t="shared" si="59"/>
        <v>849.2</v>
      </c>
      <c r="Q210" s="1206">
        <f t="shared" si="57"/>
        <v>849.2</v>
      </c>
      <c r="R210" s="163"/>
      <c r="S210" s="333"/>
      <c r="T210" s="496"/>
    </row>
    <row r="211" spans="1:20" ht="15" customHeight="1">
      <c r="A211" s="69">
        <v>29</v>
      </c>
      <c r="B211" s="72" t="s">
        <v>362</v>
      </c>
      <c r="C211" s="310" t="s">
        <v>356</v>
      </c>
      <c r="D211" s="38">
        <v>90</v>
      </c>
      <c r="E211" s="143">
        <v>100</v>
      </c>
      <c r="F211" s="143">
        <v>100</v>
      </c>
      <c r="G211" s="143">
        <v>100</v>
      </c>
      <c r="H211" s="143">
        <v>115.5</v>
      </c>
      <c r="I211" s="279">
        <v>121</v>
      </c>
      <c r="J211" s="279">
        <f t="shared" si="58"/>
        <v>121</v>
      </c>
      <c r="K211" s="279">
        <f t="shared" si="60"/>
        <v>121</v>
      </c>
      <c r="L211" s="279">
        <f t="shared" si="61"/>
        <v>121</v>
      </c>
      <c r="M211" s="279">
        <f t="shared" si="62"/>
        <v>133.10000000000002</v>
      </c>
      <c r="N211" s="279">
        <f t="shared" si="54"/>
        <v>133.10000000000002</v>
      </c>
      <c r="O211" s="279">
        <f t="shared" si="47"/>
        <v>133.10000000000002</v>
      </c>
      <c r="P211" s="279">
        <f t="shared" si="59"/>
        <v>133.10000000000002</v>
      </c>
      <c r="Q211" s="1206">
        <f t="shared" si="57"/>
        <v>133.10000000000002</v>
      </c>
      <c r="R211" s="163"/>
      <c r="S211" s="333"/>
      <c r="T211" s="496"/>
    </row>
    <row r="212" spans="1:20" ht="15" customHeight="1">
      <c r="A212" s="69">
        <v>30</v>
      </c>
      <c r="B212" s="80" t="s">
        <v>363</v>
      </c>
      <c r="C212" s="46" t="s">
        <v>88</v>
      </c>
      <c r="D212" s="47"/>
      <c r="E212" s="279">
        <v>400</v>
      </c>
      <c r="F212" s="279">
        <v>410</v>
      </c>
      <c r="G212" s="279">
        <v>425</v>
      </c>
      <c r="H212" s="143">
        <v>525</v>
      </c>
      <c r="I212" s="279">
        <v>551</v>
      </c>
      <c r="J212" s="279">
        <f t="shared" si="58"/>
        <v>551</v>
      </c>
      <c r="K212" s="279">
        <f t="shared" si="60"/>
        <v>551</v>
      </c>
      <c r="L212" s="279">
        <f t="shared" si="61"/>
        <v>551</v>
      </c>
      <c r="M212" s="279">
        <f t="shared" si="62"/>
        <v>606.1</v>
      </c>
      <c r="N212" s="279">
        <f t="shared" si="54"/>
        <v>606.1</v>
      </c>
      <c r="O212" s="279">
        <f t="shared" ref="O212:O216" si="63">N212</f>
        <v>606.1</v>
      </c>
      <c r="P212" s="279">
        <f t="shared" si="59"/>
        <v>606.1</v>
      </c>
      <c r="Q212" s="1206">
        <f t="shared" si="57"/>
        <v>606.1</v>
      </c>
      <c r="R212" s="163"/>
      <c r="S212" s="333"/>
      <c r="T212" s="496"/>
    </row>
    <row r="213" spans="1:20">
      <c r="A213" s="69">
        <v>31</v>
      </c>
      <c r="B213" s="80" t="s">
        <v>364</v>
      </c>
      <c r="C213" s="46" t="s">
        <v>88</v>
      </c>
      <c r="D213" s="47"/>
      <c r="E213" s="279">
        <v>400</v>
      </c>
      <c r="F213" s="279">
        <v>410</v>
      </c>
      <c r="G213" s="279">
        <v>425</v>
      </c>
      <c r="H213" s="143">
        <v>210</v>
      </c>
      <c r="I213" s="279">
        <v>221</v>
      </c>
      <c r="J213" s="279">
        <f t="shared" si="58"/>
        <v>221</v>
      </c>
      <c r="K213" s="279">
        <f t="shared" si="60"/>
        <v>221</v>
      </c>
      <c r="L213" s="279">
        <f t="shared" si="61"/>
        <v>221</v>
      </c>
      <c r="M213" s="279">
        <f t="shared" si="62"/>
        <v>243.10000000000002</v>
      </c>
      <c r="N213" s="279">
        <f t="shared" si="54"/>
        <v>243.10000000000002</v>
      </c>
      <c r="O213" s="279">
        <f t="shared" si="63"/>
        <v>243.10000000000002</v>
      </c>
      <c r="P213" s="279">
        <f t="shared" si="59"/>
        <v>243.10000000000002</v>
      </c>
      <c r="Q213" s="1206">
        <f t="shared" si="57"/>
        <v>243.10000000000002</v>
      </c>
      <c r="R213" s="163"/>
      <c r="S213" s="333"/>
      <c r="T213" s="496"/>
    </row>
    <row r="214" spans="1:20">
      <c r="A214" s="69">
        <v>32</v>
      </c>
      <c r="B214" s="45" t="s">
        <v>365</v>
      </c>
      <c r="C214" s="46" t="s">
        <v>88</v>
      </c>
      <c r="D214" s="47"/>
      <c r="E214" s="279"/>
      <c r="F214" s="279"/>
      <c r="G214" s="279"/>
      <c r="H214" s="143">
        <v>2835</v>
      </c>
      <c r="I214" s="279">
        <v>2977</v>
      </c>
      <c r="J214" s="279">
        <f t="shared" si="58"/>
        <v>2977</v>
      </c>
      <c r="K214" s="279">
        <f t="shared" si="60"/>
        <v>2977</v>
      </c>
      <c r="L214" s="279">
        <f t="shared" si="61"/>
        <v>2977</v>
      </c>
      <c r="M214" s="279">
        <f t="shared" si="62"/>
        <v>3274.7000000000003</v>
      </c>
      <c r="N214" s="279">
        <f t="shared" si="54"/>
        <v>3274.7000000000003</v>
      </c>
      <c r="O214" s="279">
        <f t="shared" si="63"/>
        <v>3274.7000000000003</v>
      </c>
      <c r="P214" s="279">
        <f t="shared" si="59"/>
        <v>3274.7000000000003</v>
      </c>
      <c r="Q214" s="1206">
        <f t="shared" si="57"/>
        <v>3274.7000000000003</v>
      </c>
      <c r="R214" s="163"/>
      <c r="S214" s="333"/>
      <c r="T214" s="496"/>
    </row>
    <row r="215" spans="1:20" ht="33.75">
      <c r="A215" s="69">
        <v>33</v>
      </c>
      <c r="B215" s="49" t="s">
        <v>366</v>
      </c>
      <c r="C215" s="46" t="s">
        <v>88</v>
      </c>
      <c r="D215" s="47"/>
      <c r="E215" s="279"/>
      <c r="F215" s="279"/>
      <c r="G215" s="279"/>
      <c r="H215" s="143">
        <v>2835</v>
      </c>
      <c r="I215" s="279">
        <v>2977</v>
      </c>
      <c r="J215" s="279">
        <f t="shared" si="58"/>
        <v>2977</v>
      </c>
      <c r="K215" s="279">
        <f t="shared" si="60"/>
        <v>2977</v>
      </c>
      <c r="L215" s="279">
        <f t="shared" si="61"/>
        <v>2977</v>
      </c>
      <c r="M215" s="279">
        <f t="shared" si="62"/>
        <v>3274.7000000000003</v>
      </c>
      <c r="N215" s="279">
        <f t="shared" si="54"/>
        <v>3274.7000000000003</v>
      </c>
      <c r="O215" s="279">
        <f t="shared" si="63"/>
        <v>3274.7000000000003</v>
      </c>
      <c r="P215" s="279">
        <f t="shared" si="59"/>
        <v>3274.7000000000003</v>
      </c>
      <c r="Q215" s="1206">
        <f t="shared" si="57"/>
        <v>3274.7000000000003</v>
      </c>
      <c r="R215" s="163"/>
      <c r="S215" s="333"/>
      <c r="T215" s="496"/>
    </row>
    <row r="216" spans="1:20" ht="33.75">
      <c r="A216" s="69">
        <v>34</v>
      </c>
      <c r="B216" s="49" t="s">
        <v>367</v>
      </c>
      <c r="C216" s="46" t="s">
        <v>88</v>
      </c>
      <c r="D216" s="47"/>
      <c r="E216" s="279"/>
      <c r="F216" s="279"/>
      <c r="G216" s="279"/>
      <c r="H216" s="143">
        <v>5460</v>
      </c>
      <c r="I216" s="279">
        <v>5733</v>
      </c>
      <c r="J216" s="279">
        <f t="shared" si="58"/>
        <v>5733</v>
      </c>
      <c r="K216" s="279">
        <f t="shared" si="60"/>
        <v>5733</v>
      </c>
      <c r="L216" s="279">
        <f t="shared" si="61"/>
        <v>5733</v>
      </c>
      <c r="M216" s="279">
        <f t="shared" si="62"/>
        <v>6306.3</v>
      </c>
      <c r="N216" s="279">
        <f t="shared" si="54"/>
        <v>6306.3</v>
      </c>
      <c r="O216" s="279">
        <f t="shared" si="63"/>
        <v>6306.3</v>
      </c>
      <c r="P216" s="279">
        <f t="shared" si="59"/>
        <v>6306.3</v>
      </c>
      <c r="Q216" s="1206">
        <f t="shared" si="57"/>
        <v>6306.3</v>
      </c>
      <c r="R216" s="163"/>
      <c r="S216" s="333"/>
      <c r="T216" s="496"/>
    </row>
    <row r="217" spans="1:20" ht="17.25">
      <c r="A217" s="1021">
        <v>35</v>
      </c>
      <c r="B217" s="802" t="s">
        <v>2484</v>
      </c>
      <c r="C217" s="803"/>
      <c r="D217" s="803"/>
      <c r="E217" s="804"/>
      <c r="F217" s="804"/>
      <c r="G217" s="804"/>
      <c r="H217" s="804"/>
      <c r="I217" s="804"/>
      <c r="J217" s="804"/>
      <c r="K217" s="804"/>
      <c r="L217" s="804"/>
      <c r="M217" s="804"/>
      <c r="N217" s="804"/>
      <c r="O217" s="804"/>
      <c r="P217" s="804"/>
      <c r="Q217" s="1213"/>
      <c r="R217" s="867"/>
    </row>
    <row r="218" spans="1:20" ht="17.25">
      <c r="A218" s="1020">
        <f>A217+0.01</f>
        <v>35.01</v>
      </c>
      <c r="B218" s="310" t="s">
        <v>2485</v>
      </c>
      <c r="C218" s="37" t="s">
        <v>294</v>
      </c>
      <c r="D218" s="25"/>
      <c r="E218" s="117"/>
      <c r="F218" s="117"/>
      <c r="G218" s="117"/>
      <c r="H218" s="117"/>
      <c r="I218" s="117"/>
      <c r="J218" s="117"/>
      <c r="K218" s="117"/>
      <c r="L218" s="117"/>
      <c r="M218" s="117"/>
      <c r="N218" s="1025" t="s">
        <v>2160</v>
      </c>
      <c r="O218" s="1025" t="s">
        <v>2160</v>
      </c>
      <c r="P218" s="279">
        <v>556</v>
      </c>
      <c r="Q218" s="1206">
        <f>P218</f>
        <v>556</v>
      </c>
      <c r="R218" s="1035"/>
      <c r="S218" s="839" t="s">
        <v>2495</v>
      </c>
    </row>
    <row r="219" spans="1:20" ht="17.25">
      <c r="A219" s="1020">
        <f t="shared" ref="A219:A227" si="64">A218+0.01</f>
        <v>35.019999999999996</v>
      </c>
      <c r="B219" s="310" t="s">
        <v>2486</v>
      </c>
      <c r="C219" s="37" t="s">
        <v>294</v>
      </c>
      <c r="D219" s="25"/>
      <c r="E219" s="117"/>
      <c r="F219" s="117"/>
      <c r="G219" s="117"/>
      <c r="H219" s="117"/>
      <c r="I219" s="117"/>
      <c r="J219" s="117"/>
      <c r="K219" s="117"/>
      <c r="L219" s="117"/>
      <c r="M219" s="117"/>
      <c r="N219" s="1025" t="s">
        <v>2160</v>
      </c>
      <c r="O219" s="1025" t="s">
        <v>2160</v>
      </c>
      <c r="P219" s="279">
        <v>1112</v>
      </c>
      <c r="Q219" s="1206">
        <f t="shared" ref="Q219:Q227" si="65">P219</f>
        <v>1112</v>
      </c>
      <c r="R219" s="1035"/>
      <c r="S219" s="839" t="s">
        <v>2495</v>
      </c>
    </row>
    <row r="220" spans="1:20" ht="17.25">
      <c r="A220" s="1020">
        <f t="shared" si="64"/>
        <v>35.029999999999994</v>
      </c>
      <c r="B220" s="310" t="s">
        <v>2487</v>
      </c>
      <c r="C220" s="37" t="s">
        <v>294</v>
      </c>
      <c r="D220" s="25"/>
      <c r="E220" s="117"/>
      <c r="F220" s="117"/>
      <c r="G220" s="117"/>
      <c r="H220" s="117"/>
      <c r="I220" s="117"/>
      <c r="J220" s="117"/>
      <c r="K220" s="117"/>
      <c r="L220" s="117"/>
      <c r="M220" s="117"/>
      <c r="N220" s="1025" t="s">
        <v>2160</v>
      </c>
      <c r="O220" s="1025" t="s">
        <v>2160</v>
      </c>
      <c r="P220" s="279">
        <v>1668</v>
      </c>
      <c r="Q220" s="1206">
        <f t="shared" si="65"/>
        <v>1668</v>
      </c>
      <c r="R220" s="1035"/>
      <c r="S220" s="839" t="s">
        <v>2495</v>
      </c>
    </row>
    <row r="221" spans="1:20" ht="17.25">
      <c r="A221" s="1020">
        <f t="shared" si="64"/>
        <v>35.039999999999992</v>
      </c>
      <c r="B221" s="310" t="s">
        <v>2488</v>
      </c>
      <c r="C221" s="37" t="s">
        <v>294</v>
      </c>
      <c r="D221" s="25"/>
      <c r="E221" s="117"/>
      <c r="F221" s="117"/>
      <c r="G221" s="117"/>
      <c r="H221" s="117"/>
      <c r="I221" s="117"/>
      <c r="J221" s="117"/>
      <c r="K221" s="117"/>
      <c r="L221" s="117"/>
      <c r="M221" s="117"/>
      <c r="N221" s="1025" t="s">
        <v>2160</v>
      </c>
      <c r="O221" s="1025" t="s">
        <v>2160</v>
      </c>
      <c r="P221" s="279">
        <v>2113</v>
      </c>
      <c r="Q221" s="1206">
        <f t="shared" si="65"/>
        <v>2113</v>
      </c>
      <c r="R221" s="1035"/>
      <c r="S221" s="839" t="s">
        <v>2495</v>
      </c>
    </row>
    <row r="222" spans="1:20" ht="17.25">
      <c r="A222" s="1020">
        <f t="shared" si="64"/>
        <v>35.04999999999999</v>
      </c>
      <c r="B222" s="310" t="s">
        <v>2489</v>
      </c>
      <c r="C222" s="37" t="s">
        <v>294</v>
      </c>
      <c r="D222" s="25"/>
      <c r="E222" s="117"/>
      <c r="F222" s="117"/>
      <c r="G222" s="117"/>
      <c r="H222" s="117"/>
      <c r="I222" s="117"/>
      <c r="J222" s="117"/>
      <c r="K222" s="117"/>
      <c r="L222" s="117"/>
      <c r="M222" s="117"/>
      <c r="N222" s="1025" t="s">
        <v>2160</v>
      </c>
      <c r="O222" s="1025" t="s">
        <v>2160</v>
      </c>
      <c r="P222" s="279">
        <v>3515</v>
      </c>
      <c r="Q222" s="1206">
        <f t="shared" si="65"/>
        <v>3515</v>
      </c>
      <c r="R222" s="1035"/>
      <c r="S222" s="839" t="s">
        <v>2495</v>
      </c>
    </row>
    <row r="223" spans="1:20" ht="17.25">
      <c r="A223" s="1020">
        <f t="shared" si="64"/>
        <v>35.059999999999988</v>
      </c>
      <c r="B223" s="310" t="s">
        <v>2490</v>
      </c>
      <c r="C223" s="37" t="s">
        <v>294</v>
      </c>
      <c r="D223" s="25"/>
      <c r="E223" s="117"/>
      <c r="F223" s="117"/>
      <c r="G223" s="117"/>
      <c r="H223" s="117"/>
      <c r="I223" s="117"/>
      <c r="J223" s="117"/>
      <c r="K223" s="117"/>
      <c r="L223" s="117"/>
      <c r="M223" s="117"/>
      <c r="N223" s="1025" t="s">
        <v>2160</v>
      </c>
      <c r="O223" s="1025" t="s">
        <v>2160</v>
      </c>
      <c r="P223" s="279">
        <v>4527</v>
      </c>
      <c r="Q223" s="1206">
        <f t="shared" si="65"/>
        <v>4527</v>
      </c>
      <c r="R223" s="1035"/>
      <c r="S223" s="839" t="s">
        <v>2495</v>
      </c>
    </row>
    <row r="224" spans="1:20" ht="17.25">
      <c r="A224" s="1020">
        <f t="shared" si="64"/>
        <v>35.069999999999986</v>
      </c>
      <c r="B224" s="310" t="s">
        <v>2491</v>
      </c>
      <c r="C224" s="37" t="s">
        <v>294</v>
      </c>
      <c r="D224" s="25"/>
      <c r="E224" s="117"/>
      <c r="F224" s="117"/>
      <c r="G224" s="117"/>
      <c r="H224" s="117"/>
      <c r="I224" s="117"/>
      <c r="J224" s="117"/>
      <c r="K224" s="117"/>
      <c r="L224" s="117"/>
      <c r="M224" s="117"/>
      <c r="N224" s="1025" t="s">
        <v>2160</v>
      </c>
      <c r="O224" s="1025" t="s">
        <v>2160</v>
      </c>
      <c r="P224" s="279">
        <v>5406</v>
      </c>
      <c r="Q224" s="1206">
        <f t="shared" si="65"/>
        <v>5406</v>
      </c>
      <c r="R224" s="1035"/>
      <c r="S224" s="839" t="s">
        <v>2495</v>
      </c>
    </row>
    <row r="225" spans="1:19" ht="17.25">
      <c r="A225" s="1020">
        <f t="shared" si="64"/>
        <v>35.079999999999984</v>
      </c>
      <c r="B225" s="310" t="s">
        <v>2492</v>
      </c>
      <c r="C225" s="37" t="s">
        <v>294</v>
      </c>
      <c r="D225" s="25"/>
      <c r="E225" s="117"/>
      <c r="F225" s="117"/>
      <c r="G225" s="117"/>
      <c r="H225" s="117"/>
      <c r="I225" s="117"/>
      <c r="J225" s="117"/>
      <c r="K225" s="117"/>
      <c r="L225" s="117"/>
      <c r="M225" s="117"/>
      <c r="N225" s="1025" t="s">
        <v>2160</v>
      </c>
      <c r="O225" s="1025" t="s">
        <v>2160</v>
      </c>
      <c r="P225" s="279">
        <v>9310</v>
      </c>
      <c r="Q225" s="1206">
        <f t="shared" si="65"/>
        <v>9310</v>
      </c>
      <c r="R225" s="1035"/>
      <c r="S225" s="839" t="s">
        <v>2495</v>
      </c>
    </row>
    <row r="226" spans="1:19" ht="17.25">
      <c r="A226" s="1020">
        <f t="shared" si="64"/>
        <v>35.089999999999982</v>
      </c>
      <c r="B226" s="310" t="s">
        <v>2493</v>
      </c>
      <c r="C226" s="37" t="s">
        <v>294</v>
      </c>
      <c r="D226" s="25"/>
      <c r="E226" s="117"/>
      <c r="F226" s="117"/>
      <c r="G226" s="117"/>
      <c r="H226" s="117"/>
      <c r="I226" s="117"/>
      <c r="J226" s="117"/>
      <c r="K226" s="117"/>
      <c r="L226" s="117"/>
      <c r="M226" s="117"/>
      <c r="N226" s="1025" t="s">
        <v>2160</v>
      </c>
      <c r="O226" s="1025" t="s">
        <v>2160</v>
      </c>
      <c r="P226" s="279">
        <v>14985</v>
      </c>
      <c r="Q226" s="1206">
        <f t="shared" si="65"/>
        <v>14985</v>
      </c>
      <c r="R226" s="1035"/>
      <c r="S226" s="839" t="s">
        <v>2495</v>
      </c>
    </row>
    <row r="227" spans="1:19" ht="18" thickBot="1">
      <c r="A227" s="1022">
        <f t="shared" si="64"/>
        <v>35.09999999999998</v>
      </c>
      <c r="B227" s="1023" t="s">
        <v>2494</v>
      </c>
      <c r="C227" s="1024" t="s">
        <v>294</v>
      </c>
      <c r="D227" s="73"/>
      <c r="E227" s="180"/>
      <c r="F227" s="180"/>
      <c r="G227" s="180"/>
      <c r="H227" s="180"/>
      <c r="I227" s="180"/>
      <c r="J227" s="180"/>
      <c r="K227" s="180"/>
      <c r="L227" s="180"/>
      <c r="M227" s="180"/>
      <c r="N227" s="1063" t="s">
        <v>2160</v>
      </c>
      <c r="O227" s="1063" t="s">
        <v>2160</v>
      </c>
      <c r="P227" s="665">
        <v>22572</v>
      </c>
      <c r="Q227" s="1206">
        <f t="shared" si="65"/>
        <v>22572</v>
      </c>
      <c r="R227" s="1064"/>
      <c r="S227" s="839" t="s">
        <v>2495</v>
      </c>
    </row>
  </sheetData>
  <mergeCells count="5">
    <mergeCell ref="E135:G135"/>
    <mergeCell ref="A1:R1"/>
    <mergeCell ref="R51:R55"/>
    <mergeCell ref="U66:U67"/>
    <mergeCell ref="V66:AA66"/>
  </mergeCells>
  <phoneticPr fontId="105" type="noConversion"/>
  <printOptions horizontalCentered="1"/>
  <pageMargins left="1.24" right="0.19" top="1.03" bottom="0.73" header="0.5" footer="0.56999999999999995"/>
  <pageSetup paperSize="9" scale="84"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0AC5-5485-400C-B502-E01BA1BF5025}">
  <sheetPr>
    <tabColor rgb="FF00B050"/>
    <pageSetUpPr fitToPage="1"/>
  </sheetPr>
  <dimension ref="A1:U26"/>
  <sheetViews>
    <sheetView tabSelected="1" view="pageLayout" zoomScaleNormal="100" zoomScaleSheetLayoutView="100" workbookViewId="0">
      <selection activeCell="D24" sqref="D24"/>
    </sheetView>
  </sheetViews>
  <sheetFormatPr defaultColWidth="8.85546875" defaultRowHeight="12.75"/>
  <cols>
    <col min="1" max="1" width="10.140625" style="5" customWidth="1"/>
    <col min="2" max="2" width="15" style="5" customWidth="1"/>
    <col min="3" max="3" width="13.28515625" style="5" customWidth="1"/>
    <col min="4" max="6" width="10.140625" style="5" customWidth="1"/>
    <col min="7" max="12" width="10.85546875" style="5" bestFit="1" customWidth="1"/>
    <col min="13" max="13" width="10.140625" style="5" customWidth="1"/>
    <col min="14" max="16384" width="8.85546875" style="5"/>
  </cols>
  <sheetData>
    <row r="1" spans="1:21" ht="30.75">
      <c r="A1" s="1627" t="s">
        <v>2971</v>
      </c>
      <c r="B1" s="1627"/>
      <c r="C1" s="1627"/>
      <c r="D1" s="1627"/>
      <c r="E1" s="1627"/>
      <c r="F1" s="1627"/>
      <c r="G1" s="1627"/>
      <c r="H1" s="1627"/>
      <c r="I1" s="1627"/>
      <c r="J1" s="1627"/>
      <c r="K1" s="1627"/>
      <c r="L1" s="1627"/>
      <c r="M1" s="1627"/>
    </row>
    <row r="2" spans="1:21" ht="19.899999999999999" customHeight="1">
      <c r="A2" s="1628" t="s">
        <v>1876</v>
      </c>
      <c r="B2" s="1630" t="s">
        <v>2927</v>
      </c>
      <c r="C2" s="1630"/>
      <c r="D2" s="1541" t="s">
        <v>2928</v>
      </c>
      <c r="E2" s="1541" t="s">
        <v>2929</v>
      </c>
      <c r="F2" s="1541" t="s">
        <v>2930</v>
      </c>
      <c r="G2" s="1541" t="s">
        <v>2931</v>
      </c>
      <c r="H2" s="1541" t="s">
        <v>2932</v>
      </c>
      <c r="I2" s="1541" t="s">
        <v>2933</v>
      </c>
      <c r="J2" s="1541" t="s">
        <v>2934</v>
      </c>
      <c r="K2" s="1541" t="s">
        <v>2935</v>
      </c>
      <c r="L2" s="1541" t="s">
        <v>2936</v>
      </c>
      <c r="M2" s="1312" t="s">
        <v>486</v>
      </c>
    </row>
    <row r="3" spans="1:21" ht="21.6" customHeight="1">
      <c r="A3" s="1629"/>
      <c r="B3" s="1542" t="s">
        <v>2968</v>
      </c>
      <c r="C3" s="1542" t="s">
        <v>2969</v>
      </c>
      <c r="D3" s="1542" t="s">
        <v>2158</v>
      </c>
      <c r="E3" s="1542" t="s">
        <v>2158</v>
      </c>
      <c r="F3" s="1542" t="s">
        <v>2158</v>
      </c>
      <c r="G3" s="1542" t="s">
        <v>2158</v>
      </c>
      <c r="H3" s="1542" t="s">
        <v>2158</v>
      </c>
      <c r="I3" s="1542" t="s">
        <v>2158</v>
      </c>
      <c r="J3" s="1542" t="s">
        <v>2158</v>
      </c>
      <c r="K3" s="1542" t="s">
        <v>2158</v>
      </c>
      <c r="L3" s="1542" t="s">
        <v>2158</v>
      </c>
      <c r="M3" s="884"/>
    </row>
    <row r="4" spans="1:21" ht="19.5" customHeight="1">
      <c r="A4" s="236">
        <v>1</v>
      </c>
      <c r="B4" s="453" t="s">
        <v>2937</v>
      </c>
      <c r="C4" s="453"/>
      <c r="D4" s="678"/>
      <c r="E4" s="678"/>
      <c r="F4" s="678"/>
      <c r="G4" s="678"/>
      <c r="H4" s="678"/>
      <c r="I4" s="678"/>
      <c r="J4" s="678"/>
      <c r="K4" s="678">
        <v>25</v>
      </c>
      <c r="L4" s="678">
        <v>29</v>
      </c>
      <c r="M4" s="884"/>
    </row>
    <row r="5" spans="1:21" ht="19.5" customHeight="1">
      <c r="A5" s="236">
        <v>2</v>
      </c>
      <c r="B5" s="453" t="s">
        <v>2747</v>
      </c>
      <c r="C5" s="453" t="s">
        <v>380</v>
      </c>
      <c r="D5" s="678"/>
      <c r="E5" s="678"/>
      <c r="F5" s="678"/>
      <c r="G5" s="678"/>
      <c r="H5" s="678"/>
      <c r="I5" s="678"/>
      <c r="J5" s="678">
        <v>33</v>
      </c>
      <c r="K5" s="678">
        <v>39</v>
      </c>
      <c r="L5" s="678">
        <v>45</v>
      </c>
      <c r="M5" s="884"/>
    </row>
    <row r="6" spans="1:21" ht="19.5" customHeight="1">
      <c r="A6" s="236">
        <v>3</v>
      </c>
      <c r="B6" s="453" t="s">
        <v>2938</v>
      </c>
      <c r="C6" s="453" t="s">
        <v>381</v>
      </c>
      <c r="D6" s="678"/>
      <c r="E6" s="678"/>
      <c r="F6" s="678"/>
      <c r="G6" s="678"/>
      <c r="H6" s="678"/>
      <c r="I6" s="678">
        <v>42</v>
      </c>
      <c r="J6" s="678">
        <v>50</v>
      </c>
      <c r="K6" s="678">
        <v>60</v>
      </c>
      <c r="L6" s="678">
        <v>70</v>
      </c>
      <c r="M6" s="884"/>
    </row>
    <row r="7" spans="1:21" ht="19.5" customHeight="1">
      <c r="A7" s="236">
        <v>4</v>
      </c>
      <c r="B7" s="453" t="s">
        <v>2939</v>
      </c>
      <c r="C7" s="453" t="s">
        <v>382</v>
      </c>
      <c r="D7" s="678"/>
      <c r="E7" s="678"/>
      <c r="F7" s="678"/>
      <c r="G7" s="678"/>
      <c r="H7" s="678">
        <v>55</v>
      </c>
      <c r="I7" s="678">
        <v>68</v>
      </c>
      <c r="J7" s="678">
        <v>80</v>
      </c>
      <c r="K7" s="678">
        <v>98</v>
      </c>
      <c r="L7" s="678">
        <v>115</v>
      </c>
      <c r="M7" s="884"/>
    </row>
    <row r="8" spans="1:21" ht="19.5" customHeight="1">
      <c r="A8" s="236">
        <v>5</v>
      </c>
      <c r="B8" s="453" t="s">
        <v>2940</v>
      </c>
      <c r="C8" s="453" t="s">
        <v>2941</v>
      </c>
      <c r="D8" s="678"/>
      <c r="E8" s="678"/>
      <c r="F8" s="678"/>
      <c r="G8" s="678">
        <v>70</v>
      </c>
      <c r="H8" s="678">
        <v>85</v>
      </c>
      <c r="I8" s="678">
        <v>106</v>
      </c>
      <c r="J8" s="678">
        <v>128</v>
      </c>
      <c r="K8" s="678">
        <v>152</v>
      </c>
      <c r="L8" s="678">
        <v>176</v>
      </c>
      <c r="M8" s="884"/>
      <c r="N8" s="1631" t="s">
        <v>2966</v>
      </c>
      <c r="O8" s="1632"/>
      <c r="P8" s="1632"/>
      <c r="Q8" s="1632"/>
      <c r="R8" s="1632"/>
      <c r="S8" s="1632"/>
      <c r="T8" s="5">
        <v>95</v>
      </c>
      <c r="U8" s="1544">
        <f>(T8-G8)/T8</f>
        <v>0.26315789473684209</v>
      </c>
    </row>
    <row r="9" spans="1:21" ht="19.5" customHeight="1">
      <c r="A9" s="236">
        <v>6</v>
      </c>
      <c r="B9" s="453" t="s">
        <v>2942</v>
      </c>
      <c r="C9" s="453" t="s">
        <v>2943</v>
      </c>
      <c r="D9" s="678"/>
      <c r="E9" s="678"/>
      <c r="F9" s="678">
        <v>93</v>
      </c>
      <c r="G9" s="678">
        <v>109</v>
      </c>
      <c r="H9" s="678">
        <v>135</v>
      </c>
      <c r="I9" s="678">
        <v>164</v>
      </c>
      <c r="J9" s="678">
        <v>199</v>
      </c>
      <c r="K9" s="678">
        <v>236</v>
      </c>
      <c r="L9" s="678">
        <v>278</v>
      </c>
      <c r="M9" s="884"/>
      <c r="R9" s="5">
        <v>125</v>
      </c>
      <c r="S9" s="1544">
        <f>(R9-F9)/R9</f>
        <v>0.25600000000000001</v>
      </c>
      <c r="T9" s="5">
        <v>145</v>
      </c>
      <c r="U9" s="1544">
        <f t="shared" ref="U9:U26" si="0">(T9-G9)/T9</f>
        <v>0.24827586206896551</v>
      </c>
    </row>
    <row r="10" spans="1:21" ht="19.5" customHeight="1">
      <c r="A10" s="236">
        <v>7</v>
      </c>
      <c r="B10" s="453" t="s">
        <v>2944</v>
      </c>
      <c r="C10" s="453" t="s">
        <v>385</v>
      </c>
      <c r="D10" s="678"/>
      <c r="E10" s="678"/>
      <c r="F10" s="678">
        <v>143</v>
      </c>
      <c r="G10" s="678">
        <v>168</v>
      </c>
      <c r="H10" s="678">
        <v>204</v>
      </c>
      <c r="I10" s="678">
        <v>254</v>
      </c>
      <c r="J10" s="678">
        <v>306</v>
      </c>
      <c r="K10" s="678">
        <v>338.1</v>
      </c>
      <c r="L10" s="678">
        <v>428</v>
      </c>
      <c r="M10" s="884"/>
      <c r="N10" s="1545" t="s">
        <v>2967</v>
      </c>
      <c r="O10" s="1545" t="s">
        <v>2614</v>
      </c>
      <c r="P10" s="1545" t="s">
        <v>2967</v>
      </c>
      <c r="Q10" s="1545" t="s">
        <v>2614</v>
      </c>
      <c r="R10" s="5">
        <v>190</v>
      </c>
      <c r="S10" s="1544">
        <f t="shared" ref="S10:S26" si="1">(R10-F10)/R10</f>
        <v>0.24736842105263157</v>
      </c>
      <c r="T10" s="5">
        <v>225</v>
      </c>
      <c r="U10" s="1544">
        <f t="shared" si="0"/>
        <v>0.25333333333333335</v>
      </c>
    </row>
    <row r="11" spans="1:21" ht="19.5" customHeight="1">
      <c r="A11" s="236">
        <v>8</v>
      </c>
      <c r="B11" s="453" t="s">
        <v>2945</v>
      </c>
      <c r="C11" s="453" t="s">
        <v>2946</v>
      </c>
      <c r="D11" s="678">
        <v>135</v>
      </c>
      <c r="E11" s="678">
        <v>160</v>
      </c>
      <c r="F11" s="678">
        <v>200</v>
      </c>
      <c r="G11" s="678">
        <v>245</v>
      </c>
      <c r="H11" s="678">
        <v>303</v>
      </c>
      <c r="I11" s="678">
        <v>370</v>
      </c>
      <c r="J11" s="678">
        <v>445</v>
      </c>
      <c r="K11" s="678">
        <v>527</v>
      </c>
      <c r="L11" s="678">
        <v>620</v>
      </c>
      <c r="M11" s="884"/>
      <c r="N11" s="5">
        <v>180</v>
      </c>
      <c r="O11" s="1544">
        <f>(N11-D11)/N11</f>
        <v>0.25</v>
      </c>
      <c r="P11" s="5">
        <v>215</v>
      </c>
      <c r="Q11" s="1544">
        <f>(P11-E11)/P11</f>
        <v>0.2558139534883721</v>
      </c>
      <c r="R11" s="5">
        <v>270</v>
      </c>
      <c r="S11" s="1544">
        <f t="shared" si="1"/>
        <v>0.25925925925925924</v>
      </c>
      <c r="T11" s="5">
        <v>330</v>
      </c>
      <c r="U11" s="1544">
        <f t="shared" si="0"/>
        <v>0.25757575757575757</v>
      </c>
    </row>
    <row r="12" spans="1:21" ht="19.5" customHeight="1">
      <c r="A12" s="236">
        <v>9</v>
      </c>
      <c r="B12" s="453" t="s">
        <v>2947</v>
      </c>
      <c r="C12" s="453" t="s">
        <v>387</v>
      </c>
      <c r="D12" s="678">
        <v>185</v>
      </c>
      <c r="E12" s="678">
        <v>235</v>
      </c>
      <c r="F12" s="678">
        <v>290</v>
      </c>
      <c r="G12" s="678">
        <v>345</v>
      </c>
      <c r="H12" s="678">
        <v>425</v>
      </c>
      <c r="I12" s="678">
        <v>530</v>
      </c>
      <c r="J12" s="678">
        <v>633</v>
      </c>
      <c r="K12" s="678">
        <v>754</v>
      </c>
      <c r="L12" s="678">
        <v>890</v>
      </c>
      <c r="M12" s="884"/>
      <c r="N12" s="5">
        <v>250</v>
      </c>
      <c r="O12" s="1544">
        <f t="shared" ref="O12:O26" si="2">(N12-D12)/N12</f>
        <v>0.26</v>
      </c>
      <c r="P12" s="5">
        <v>315</v>
      </c>
      <c r="Q12" s="1544">
        <f t="shared" ref="Q12:Q26" si="3">(P12-E12)/P12</f>
        <v>0.25396825396825395</v>
      </c>
      <c r="R12" s="5">
        <v>390</v>
      </c>
      <c r="S12" s="1544">
        <f t="shared" si="1"/>
        <v>0.25641025641025639</v>
      </c>
      <c r="T12" s="5">
        <v>470</v>
      </c>
      <c r="U12" s="1544">
        <f t="shared" si="0"/>
        <v>0.26595744680851063</v>
      </c>
    </row>
    <row r="13" spans="1:21" ht="19.5" customHeight="1">
      <c r="A13" s="236">
        <v>10</v>
      </c>
      <c r="B13" s="453" t="s">
        <v>2948</v>
      </c>
      <c r="C13" s="453" t="s">
        <v>388</v>
      </c>
      <c r="D13" s="678">
        <v>279</v>
      </c>
      <c r="E13" s="678">
        <v>344</v>
      </c>
      <c r="F13" s="678">
        <v>432</v>
      </c>
      <c r="G13" s="678">
        <v>505</v>
      </c>
      <c r="H13" s="678">
        <v>440</v>
      </c>
      <c r="I13" s="678">
        <v>780</v>
      </c>
      <c r="J13" s="678">
        <v>944</v>
      </c>
      <c r="K13" s="678">
        <v>1131</v>
      </c>
      <c r="L13" s="678">
        <v>1330</v>
      </c>
      <c r="M13" s="884"/>
      <c r="N13" s="5">
        <v>375</v>
      </c>
      <c r="O13" s="1544">
        <f t="shared" si="2"/>
        <v>0.25600000000000001</v>
      </c>
      <c r="P13" s="5">
        <v>460</v>
      </c>
      <c r="Q13" s="1544">
        <f t="shared" si="3"/>
        <v>0.25217391304347825</v>
      </c>
      <c r="R13" s="5">
        <v>575</v>
      </c>
      <c r="S13" s="1544">
        <f t="shared" si="1"/>
        <v>0.24869565217391304</v>
      </c>
      <c r="T13" s="5">
        <v>780</v>
      </c>
      <c r="U13" s="1544">
        <f t="shared" si="0"/>
        <v>0.35256410256410259</v>
      </c>
    </row>
    <row r="14" spans="1:21" ht="19.5" customHeight="1">
      <c r="A14" s="236">
        <v>11</v>
      </c>
      <c r="B14" s="453" t="s">
        <v>2949</v>
      </c>
      <c r="C14" s="453" t="s">
        <v>2950</v>
      </c>
      <c r="D14" s="678">
        <v>360</v>
      </c>
      <c r="E14" s="678">
        <v>440</v>
      </c>
      <c r="F14" s="678">
        <v>550</v>
      </c>
      <c r="G14" s="678">
        <v>655</v>
      </c>
      <c r="H14" s="678">
        <v>822</v>
      </c>
      <c r="I14" s="678">
        <v>1006</v>
      </c>
      <c r="J14" s="678">
        <v>1220</v>
      </c>
      <c r="K14" s="678">
        <v>1455</v>
      </c>
      <c r="L14" s="678">
        <v>1717</v>
      </c>
      <c r="M14" s="884"/>
      <c r="N14" s="5">
        <v>485</v>
      </c>
      <c r="O14" s="1544">
        <f t="shared" si="2"/>
        <v>0.25773195876288657</v>
      </c>
      <c r="P14" s="5">
        <v>590</v>
      </c>
      <c r="Q14" s="1544">
        <f t="shared" si="3"/>
        <v>0.25423728813559321</v>
      </c>
      <c r="R14" s="5">
        <v>735</v>
      </c>
      <c r="S14" s="1544">
        <f t="shared" si="1"/>
        <v>0.25170068027210885</v>
      </c>
      <c r="T14" s="5">
        <v>905</v>
      </c>
      <c r="U14" s="1544">
        <f t="shared" si="0"/>
        <v>0.27624309392265195</v>
      </c>
    </row>
    <row r="15" spans="1:21" ht="19.5" customHeight="1">
      <c r="A15" s="236">
        <v>12</v>
      </c>
      <c r="B15" s="453" t="s">
        <v>2951</v>
      </c>
      <c r="C15" s="453" t="s">
        <v>390</v>
      </c>
      <c r="D15" s="678">
        <v>460</v>
      </c>
      <c r="E15" s="678">
        <v>554</v>
      </c>
      <c r="F15" s="678">
        <v>689</v>
      </c>
      <c r="G15" s="678">
        <v>825</v>
      </c>
      <c r="H15" s="678">
        <v>1033</v>
      </c>
      <c r="I15" s="678">
        <v>1261</v>
      </c>
      <c r="J15" s="678">
        <v>1535</v>
      </c>
      <c r="K15" s="678">
        <v>1829</v>
      </c>
      <c r="L15" s="678">
        <v>2159</v>
      </c>
      <c r="M15" s="884"/>
      <c r="N15" s="5">
        <v>615</v>
      </c>
      <c r="O15" s="1544">
        <f t="shared" si="2"/>
        <v>0.25203252032520324</v>
      </c>
      <c r="P15" s="5">
        <v>740</v>
      </c>
      <c r="Q15" s="1544">
        <f t="shared" si="3"/>
        <v>0.25135135135135134</v>
      </c>
      <c r="R15" s="5">
        <v>920</v>
      </c>
      <c r="S15" s="1544">
        <f t="shared" si="1"/>
        <v>0.25108695652173912</v>
      </c>
      <c r="T15" s="5">
        <v>1135</v>
      </c>
      <c r="U15" s="1544">
        <f t="shared" si="0"/>
        <v>0.27312775330396477</v>
      </c>
    </row>
    <row r="16" spans="1:21" ht="19.5" customHeight="1">
      <c r="A16" s="236">
        <v>13</v>
      </c>
      <c r="B16" s="453" t="s">
        <v>2952</v>
      </c>
      <c r="C16" s="453" t="s">
        <v>391</v>
      </c>
      <c r="D16" s="678">
        <v>580</v>
      </c>
      <c r="E16" s="678">
        <v>724</v>
      </c>
      <c r="F16" s="678">
        <v>904</v>
      </c>
      <c r="G16" s="678">
        <v>1070</v>
      </c>
      <c r="H16" s="678">
        <v>1355</v>
      </c>
      <c r="I16" s="678">
        <v>1653</v>
      </c>
      <c r="J16" s="678">
        <v>2000</v>
      </c>
      <c r="K16" s="678">
        <v>2383</v>
      </c>
      <c r="L16" s="678">
        <v>2819</v>
      </c>
      <c r="M16" s="884"/>
      <c r="N16" s="5">
        <v>780</v>
      </c>
      <c r="O16" s="1544">
        <f t="shared" si="2"/>
        <v>0.25641025641025639</v>
      </c>
      <c r="P16" s="5">
        <v>970</v>
      </c>
      <c r="Q16" s="1544">
        <f t="shared" si="3"/>
        <v>0.2536082474226804</v>
      </c>
      <c r="R16" s="5">
        <v>1210</v>
      </c>
      <c r="S16" s="1544">
        <f t="shared" si="1"/>
        <v>0.2528925619834711</v>
      </c>
      <c r="T16" s="5">
        <v>1490</v>
      </c>
      <c r="U16" s="1544">
        <f t="shared" si="0"/>
        <v>0.28187919463087246</v>
      </c>
    </row>
    <row r="17" spans="1:21" ht="19.5" customHeight="1">
      <c r="A17" s="236">
        <v>14</v>
      </c>
      <c r="B17" s="453" t="s">
        <v>2953</v>
      </c>
      <c r="C17" s="453" t="s">
        <v>392</v>
      </c>
      <c r="D17" s="678">
        <v>733</v>
      </c>
      <c r="E17" s="678">
        <v>915</v>
      </c>
      <c r="F17" s="678">
        <v>1149</v>
      </c>
      <c r="G17" s="678">
        <v>1350</v>
      </c>
      <c r="H17" s="678">
        <v>1700</v>
      </c>
      <c r="I17" s="678">
        <v>2091</v>
      </c>
      <c r="J17" s="678">
        <v>2525</v>
      </c>
      <c r="K17" s="678">
        <v>3010</v>
      </c>
      <c r="L17" s="678">
        <v>3560</v>
      </c>
      <c r="M17" s="884"/>
      <c r="N17" s="5">
        <v>980</v>
      </c>
      <c r="O17" s="1544">
        <f t="shared" si="2"/>
        <v>0.25204081632653064</v>
      </c>
      <c r="P17" s="5">
        <v>1225</v>
      </c>
      <c r="Q17" s="1544">
        <f t="shared" si="3"/>
        <v>0.2530612244897959</v>
      </c>
      <c r="R17" s="5">
        <v>1535</v>
      </c>
      <c r="S17" s="1544">
        <f t="shared" si="1"/>
        <v>0.2514657980456026</v>
      </c>
      <c r="T17" s="5">
        <v>1870</v>
      </c>
      <c r="U17" s="1544">
        <f t="shared" si="0"/>
        <v>0.27807486631016043</v>
      </c>
    </row>
    <row r="18" spans="1:21" ht="19.5" customHeight="1">
      <c r="A18" s="236">
        <v>15</v>
      </c>
      <c r="B18" s="453" t="s">
        <v>2954</v>
      </c>
      <c r="C18" s="453" t="s">
        <v>393</v>
      </c>
      <c r="D18" s="678">
        <v>910</v>
      </c>
      <c r="E18" s="678">
        <v>1120</v>
      </c>
      <c r="F18" s="678">
        <v>1406</v>
      </c>
      <c r="G18" s="678">
        <v>1660</v>
      </c>
      <c r="H18" s="678">
        <v>2100</v>
      </c>
      <c r="I18" s="678">
        <v>2572</v>
      </c>
      <c r="J18" s="678">
        <v>3115</v>
      </c>
      <c r="K18" s="678">
        <v>3724</v>
      </c>
      <c r="L18" s="678">
        <v>4397</v>
      </c>
      <c r="M18" s="884"/>
      <c r="N18" s="5">
        <v>1220</v>
      </c>
      <c r="O18" s="1544">
        <f t="shared" si="2"/>
        <v>0.25409836065573771</v>
      </c>
      <c r="P18" s="5">
        <v>1500</v>
      </c>
      <c r="Q18" s="1544">
        <f t="shared" si="3"/>
        <v>0.25333333333333335</v>
      </c>
      <c r="R18" s="5">
        <v>1880</v>
      </c>
      <c r="S18" s="1544">
        <f t="shared" si="1"/>
        <v>0.25212765957446809</v>
      </c>
      <c r="T18" s="5">
        <v>2320</v>
      </c>
      <c r="U18" s="1544">
        <f t="shared" si="0"/>
        <v>0.28448275862068967</v>
      </c>
    </row>
    <row r="19" spans="1:21" ht="19.5" customHeight="1">
      <c r="A19" s="236">
        <v>16</v>
      </c>
      <c r="B19" s="453" t="s">
        <v>2955</v>
      </c>
      <c r="C19" s="453" t="s">
        <v>394</v>
      </c>
      <c r="D19" s="678">
        <v>1150</v>
      </c>
      <c r="E19" s="678">
        <v>1429</v>
      </c>
      <c r="F19" s="678">
        <v>1786</v>
      </c>
      <c r="G19" s="678">
        <v>2110</v>
      </c>
      <c r="H19" s="678">
        <v>2657</v>
      </c>
      <c r="I19" s="678">
        <v>3267</v>
      </c>
      <c r="J19" s="678">
        <v>3950</v>
      </c>
      <c r="K19" s="678">
        <v>4701</v>
      </c>
      <c r="L19" s="678">
        <v>5570</v>
      </c>
      <c r="M19" s="884"/>
      <c r="N19" s="5">
        <v>1545</v>
      </c>
      <c r="O19" s="1544">
        <f t="shared" si="2"/>
        <v>0.25566343042071199</v>
      </c>
      <c r="P19" s="5">
        <v>1910</v>
      </c>
      <c r="Q19" s="1544">
        <f t="shared" si="3"/>
        <v>0.25183246073298432</v>
      </c>
      <c r="R19" s="5">
        <v>2390</v>
      </c>
      <c r="S19" s="1544">
        <f t="shared" si="1"/>
        <v>0.25271966527196654</v>
      </c>
      <c r="T19" s="5">
        <v>2930</v>
      </c>
      <c r="U19" s="1544">
        <f t="shared" si="0"/>
        <v>0.27986348122866894</v>
      </c>
    </row>
    <row r="20" spans="1:21" ht="19.5" customHeight="1">
      <c r="A20" s="236">
        <v>17</v>
      </c>
      <c r="B20" s="453" t="s">
        <v>2956</v>
      </c>
      <c r="C20" s="453" t="s">
        <v>395</v>
      </c>
      <c r="D20" s="678">
        <v>1410</v>
      </c>
      <c r="E20" s="678">
        <v>1750</v>
      </c>
      <c r="F20" s="678">
        <v>2210</v>
      </c>
      <c r="G20" s="678">
        <v>2595</v>
      </c>
      <c r="H20" s="678">
        <v>3259</v>
      </c>
      <c r="I20" s="678">
        <v>4014</v>
      </c>
      <c r="J20" s="678">
        <v>4860</v>
      </c>
      <c r="K20" s="678">
        <v>5803</v>
      </c>
      <c r="L20" s="678">
        <v>6858</v>
      </c>
      <c r="M20" s="884"/>
      <c r="N20" s="5">
        <v>1890</v>
      </c>
      <c r="O20" s="1544">
        <f t="shared" si="2"/>
        <v>0.25396825396825395</v>
      </c>
      <c r="P20" s="5">
        <v>2340</v>
      </c>
      <c r="Q20" s="1544">
        <f t="shared" si="3"/>
        <v>0.25213675213675213</v>
      </c>
      <c r="R20" s="5">
        <v>2955</v>
      </c>
      <c r="S20" s="1544">
        <f t="shared" si="1"/>
        <v>0.25211505922165822</v>
      </c>
      <c r="T20" s="5">
        <v>3615</v>
      </c>
      <c r="U20" s="1544">
        <f t="shared" si="0"/>
        <v>0.28215767634854771</v>
      </c>
    </row>
    <row r="21" spans="1:21" ht="19.5" customHeight="1">
      <c r="A21" s="236">
        <v>18</v>
      </c>
      <c r="B21" s="453" t="s">
        <v>2957</v>
      </c>
      <c r="C21" s="453" t="s">
        <v>396</v>
      </c>
      <c r="D21" s="678">
        <v>1790</v>
      </c>
      <c r="E21" s="678">
        <v>2190</v>
      </c>
      <c r="F21" s="678">
        <v>2750</v>
      </c>
      <c r="G21" s="678">
        <v>3255</v>
      </c>
      <c r="H21" s="678">
        <v>4110</v>
      </c>
      <c r="I21" s="678">
        <v>5042</v>
      </c>
      <c r="J21" s="678">
        <v>6100</v>
      </c>
      <c r="K21" s="678">
        <v>7294</v>
      </c>
      <c r="L21" s="678">
        <v>8609</v>
      </c>
      <c r="M21" s="884"/>
      <c r="N21" s="5">
        <v>2395</v>
      </c>
      <c r="O21" s="1544">
        <f t="shared" si="2"/>
        <v>0.25260960334029225</v>
      </c>
      <c r="P21" s="5">
        <v>2935</v>
      </c>
      <c r="Q21" s="1544">
        <f t="shared" si="3"/>
        <v>0.25383304940374785</v>
      </c>
      <c r="R21" s="5">
        <v>3685</v>
      </c>
      <c r="S21" s="1544">
        <f t="shared" si="1"/>
        <v>0.2537313432835821</v>
      </c>
      <c r="T21" s="5">
        <v>4510</v>
      </c>
      <c r="U21" s="1544">
        <f t="shared" si="0"/>
        <v>0.27827050997782704</v>
      </c>
    </row>
    <row r="22" spans="1:21" ht="19.5" customHeight="1">
      <c r="A22" s="236">
        <v>19</v>
      </c>
      <c r="B22" s="453" t="s">
        <v>2958</v>
      </c>
      <c r="C22" s="453" t="s">
        <v>397</v>
      </c>
      <c r="D22" s="678">
        <v>2249</v>
      </c>
      <c r="E22" s="678">
        <v>2780</v>
      </c>
      <c r="F22" s="678">
        <v>3490</v>
      </c>
      <c r="G22" s="678">
        <v>4120</v>
      </c>
      <c r="H22" s="678">
        <v>5208</v>
      </c>
      <c r="I22" s="678">
        <v>6378</v>
      </c>
      <c r="J22" s="678">
        <v>7720</v>
      </c>
      <c r="K22" s="678">
        <v>9209</v>
      </c>
      <c r="L22" s="678">
        <v>10889</v>
      </c>
      <c r="M22" s="884"/>
      <c r="N22" s="5">
        <v>3010</v>
      </c>
      <c r="O22" s="1544">
        <f t="shared" si="2"/>
        <v>0.25282392026578071</v>
      </c>
      <c r="P22" s="5">
        <v>3720</v>
      </c>
      <c r="Q22" s="1544">
        <f t="shared" si="3"/>
        <v>0.25268817204301075</v>
      </c>
      <c r="R22" s="5">
        <v>4670</v>
      </c>
      <c r="S22" s="1544">
        <f t="shared" si="1"/>
        <v>0.25267665952890794</v>
      </c>
      <c r="T22" s="5">
        <v>5690</v>
      </c>
      <c r="U22" s="1544">
        <f t="shared" si="0"/>
        <v>0.27592267135325133</v>
      </c>
    </row>
    <row r="23" spans="1:21" ht="19.5" customHeight="1">
      <c r="A23" s="236">
        <v>20</v>
      </c>
      <c r="B23" s="453" t="s">
        <v>2959</v>
      </c>
      <c r="C23" s="453" t="s">
        <v>398</v>
      </c>
      <c r="D23" s="1543">
        <v>2862</v>
      </c>
      <c r="E23" s="678">
        <v>3522</v>
      </c>
      <c r="F23" s="678">
        <v>4427</v>
      </c>
      <c r="G23" s="678">
        <v>5399</v>
      </c>
      <c r="H23" s="678">
        <v>6590</v>
      </c>
      <c r="I23" s="678">
        <v>8088</v>
      </c>
      <c r="J23" s="678">
        <v>9805</v>
      </c>
      <c r="K23" s="678">
        <v>11717</v>
      </c>
      <c r="L23" s="678">
        <v>13823</v>
      </c>
      <c r="M23" s="884"/>
      <c r="N23" s="5">
        <v>3830</v>
      </c>
      <c r="O23" s="1544">
        <f t="shared" si="2"/>
        <v>0.25274151436031334</v>
      </c>
      <c r="P23" s="5">
        <v>4710</v>
      </c>
      <c r="Q23" s="1544">
        <f t="shared" si="3"/>
        <v>0.25222929936305732</v>
      </c>
      <c r="R23" s="5">
        <v>5920</v>
      </c>
      <c r="S23" s="1544">
        <f t="shared" si="1"/>
        <v>0.25219594594594597</v>
      </c>
      <c r="T23" s="5">
        <v>7225</v>
      </c>
      <c r="U23" s="1544">
        <f t="shared" si="0"/>
        <v>0.25273356401384084</v>
      </c>
    </row>
    <row r="24" spans="1:21" ht="19.5" customHeight="1">
      <c r="A24" s="236">
        <v>21</v>
      </c>
      <c r="B24" s="453" t="s">
        <v>2960</v>
      </c>
      <c r="C24" s="453" t="s">
        <v>2961</v>
      </c>
      <c r="D24" s="1543">
        <v>3627</v>
      </c>
      <c r="E24" s="678">
        <v>4472</v>
      </c>
      <c r="F24" s="678">
        <v>5592</v>
      </c>
      <c r="G24" s="678">
        <v>6868</v>
      </c>
      <c r="H24" s="678">
        <v>8381</v>
      </c>
      <c r="I24" s="678">
        <v>10304</v>
      </c>
      <c r="J24" s="678">
        <v>12446</v>
      </c>
      <c r="K24" s="678">
        <v>14869</v>
      </c>
      <c r="L24" s="678">
        <v>17549</v>
      </c>
      <c r="M24" s="884"/>
      <c r="N24" s="5">
        <v>4855</v>
      </c>
      <c r="O24" s="1544">
        <f t="shared" si="2"/>
        <v>0.25293511843460348</v>
      </c>
      <c r="P24" s="5">
        <v>5985</v>
      </c>
      <c r="Q24" s="1544">
        <f t="shared" si="3"/>
        <v>0.25279866332497913</v>
      </c>
      <c r="R24" s="5">
        <v>7480</v>
      </c>
      <c r="S24" s="1544">
        <f t="shared" si="1"/>
        <v>0.25240641711229944</v>
      </c>
      <c r="T24" s="5">
        <v>9190</v>
      </c>
      <c r="U24" s="1544">
        <f t="shared" si="0"/>
        <v>0.25266594124047881</v>
      </c>
    </row>
    <row r="25" spans="1:21" ht="19.5" customHeight="1">
      <c r="A25" s="236">
        <v>22</v>
      </c>
      <c r="B25" s="453" t="s">
        <v>2962</v>
      </c>
      <c r="C25" s="453" t="s">
        <v>2963</v>
      </c>
      <c r="D25" s="1543">
        <v>4524</v>
      </c>
      <c r="E25" s="678">
        <v>5658</v>
      </c>
      <c r="F25" s="678">
        <v>7069</v>
      </c>
      <c r="G25" s="678">
        <v>8706</v>
      </c>
      <c r="H25" s="678">
        <v>10587</v>
      </c>
      <c r="I25" s="678">
        <v>12997</v>
      </c>
      <c r="J25" s="678">
        <v>15742</v>
      </c>
      <c r="K25" s="678">
        <v>18782</v>
      </c>
      <c r="L25" s="678">
        <v>22222</v>
      </c>
      <c r="M25" s="884"/>
      <c r="N25" s="5">
        <v>6120</v>
      </c>
      <c r="O25" s="1544">
        <f t="shared" si="2"/>
        <v>0.26078431372549021</v>
      </c>
      <c r="P25" s="5">
        <v>7570</v>
      </c>
      <c r="Q25" s="1544">
        <f t="shared" si="3"/>
        <v>0.25257595772787317</v>
      </c>
      <c r="R25" s="5">
        <v>9455</v>
      </c>
      <c r="S25" s="1544">
        <f t="shared" si="1"/>
        <v>0.25235325224748811</v>
      </c>
      <c r="T25" s="5">
        <v>11645</v>
      </c>
      <c r="U25" s="1544">
        <f t="shared" si="0"/>
        <v>0.25238299699441819</v>
      </c>
    </row>
    <row r="26" spans="1:21" ht="19.5" customHeight="1">
      <c r="A26" s="236">
        <v>23</v>
      </c>
      <c r="B26" s="453" t="s">
        <v>2964</v>
      </c>
      <c r="C26" s="453" t="s">
        <v>2965</v>
      </c>
      <c r="D26" s="1543">
        <v>5630</v>
      </c>
      <c r="E26" s="678">
        <v>6962</v>
      </c>
      <c r="F26" s="678">
        <v>8755</v>
      </c>
      <c r="G26" s="678">
        <v>10742</v>
      </c>
      <c r="H26" s="678">
        <v>13090</v>
      </c>
      <c r="I26" s="678">
        <v>16058</v>
      </c>
      <c r="J26" s="678">
        <v>19461</v>
      </c>
      <c r="K26" s="678">
        <v>23215</v>
      </c>
      <c r="L26" s="678">
        <v>27415</v>
      </c>
      <c r="M26" s="884"/>
      <c r="N26" s="5">
        <v>7530</v>
      </c>
      <c r="O26" s="1544">
        <f t="shared" si="2"/>
        <v>0.25232403718459495</v>
      </c>
      <c r="P26" s="5">
        <v>9315</v>
      </c>
      <c r="Q26" s="1544">
        <f t="shared" si="3"/>
        <v>0.25260332796564683</v>
      </c>
      <c r="R26" s="5">
        <v>11710</v>
      </c>
      <c r="S26" s="1544">
        <f t="shared" si="1"/>
        <v>0.25234842015371478</v>
      </c>
      <c r="T26" s="5">
        <v>14370</v>
      </c>
      <c r="U26" s="1544">
        <f t="shared" si="0"/>
        <v>0.25247042449547669</v>
      </c>
    </row>
  </sheetData>
  <mergeCells count="4">
    <mergeCell ref="A1:M1"/>
    <mergeCell ref="A2:A3"/>
    <mergeCell ref="B2:C2"/>
    <mergeCell ref="N8:S8"/>
  </mergeCells>
  <printOptions horizontalCentered="1"/>
  <pageMargins left="0.2" right="0.23" top="0.55000000000000004" bottom="0.52" header="0.3" footer="0.3"/>
  <pageSetup paperSize="9" scale="99" orientation="landscape" verticalDpi="300" r:id="rId1"/>
  <headerFooter>
    <oddHeader>&amp;Lनवलपरासी (ब.सु.प.)&amp;Cजिल्ला दररेट आ.व.२०८३/०८४</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AG98"/>
  <sheetViews>
    <sheetView tabSelected="1" view="pageLayout" zoomScaleNormal="100" zoomScaleSheetLayoutView="100" workbookViewId="0">
      <selection activeCell="D24" sqref="D24"/>
    </sheetView>
  </sheetViews>
  <sheetFormatPr defaultRowHeight="19.5"/>
  <cols>
    <col min="1" max="1" width="6.7109375" style="100" customWidth="1"/>
    <col min="2" max="2" width="9.28515625" style="82" customWidth="1"/>
    <col min="3" max="3" width="11.7109375" style="82" customWidth="1"/>
    <col min="4" max="4" width="9.7109375" style="82" customWidth="1"/>
    <col min="5" max="5" width="13.42578125" style="82" customWidth="1"/>
    <col min="6" max="6" width="13" style="82" bestFit="1" customWidth="1"/>
    <col min="7" max="7" width="15.42578125" style="82" customWidth="1"/>
    <col min="8" max="8" width="13.7109375" style="82" customWidth="1"/>
    <col min="9" max="9" width="9.85546875" style="82" customWidth="1"/>
    <col min="10" max="10" width="12.28515625" style="82" customWidth="1"/>
    <col min="11" max="11" width="12.42578125" style="82" hidden="1" customWidth="1"/>
    <col min="12" max="12" width="11.7109375" style="82" hidden="1" customWidth="1"/>
    <col min="13" max="13" width="12.28515625" style="82" hidden="1" customWidth="1"/>
    <col min="14" max="14" width="13.5703125" style="82" hidden="1" customWidth="1"/>
    <col min="15" max="15" width="12.5703125" style="82" bestFit="1" customWidth="1"/>
    <col min="16" max="16" width="9.28515625" style="82"/>
    <col min="17" max="20" width="12.28515625" style="82" customWidth="1"/>
    <col min="21" max="21" width="11" style="82" bestFit="1" customWidth="1"/>
    <col min="22" max="24" width="11" style="82" customWidth="1"/>
    <col min="25" max="25" width="10.85546875" style="82" bestFit="1" customWidth="1"/>
    <col min="26" max="28" width="10.85546875" style="82" customWidth="1"/>
    <col min="29" max="29" width="11" style="82" bestFit="1" customWidth="1"/>
    <col min="30" max="32" width="11" style="82" customWidth="1"/>
    <col min="33" max="264" width="9.28515625" style="82"/>
    <col min="265" max="265" width="7.5703125" style="82" customWidth="1"/>
    <col min="266" max="266" width="7.28515625" style="82" customWidth="1"/>
    <col min="267" max="267" width="9.28515625" style="82"/>
    <col min="268" max="268" width="12.28515625" style="82" customWidth="1"/>
    <col min="269" max="269" width="12.7109375" style="82" customWidth="1"/>
    <col min="270" max="270" width="10.7109375" style="82" customWidth="1"/>
    <col min="271" max="272" width="11.5703125" style="82" customWidth="1"/>
    <col min="273" max="273" width="11.42578125" style="82" customWidth="1"/>
    <col min="274" max="275" width="9.28515625" style="82"/>
    <col min="276" max="276" width="11" style="82" customWidth="1"/>
    <col min="277" max="520" width="9.28515625" style="82"/>
    <col min="521" max="521" width="7.5703125" style="82" customWidth="1"/>
    <col min="522" max="522" width="7.28515625" style="82" customWidth="1"/>
    <col min="523" max="523" width="9.28515625" style="82"/>
    <col min="524" max="524" width="12.28515625" style="82" customWidth="1"/>
    <col min="525" max="525" width="12.7109375" style="82" customWidth="1"/>
    <col min="526" max="526" width="10.7109375" style="82" customWidth="1"/>
    <col min="527" max="528" width="11.5703125" style="82" customWidth="1"/>
    <col min="529" max="529" width="11.42578125" style="82" customWidth="1"/>
    <col min="530" max="531" width="9.28515625" style="82"/>
    <col min="532" max="532" width="11" style="82" customWidth="1"/>
    <col min="533" max="776" width="9.28515625" style="82"/>
    <col min="777" max="777" width="7.5703125" style="82" customWidth="1"/>
    <col min="778" max="778" width="7.28515625" style="82" customWidth="1"/>
    <col min="779" max="779" width="9.28515625" style="82"/>
    <col min="780" max="780" width="12.28515625" style="82" customWidth="1"/>
    <col min="781" max="781" width="12.7109375" style="82" customWidth="1"/>
    <col min="782" max="782" width="10.7109375" style="82" customWidth="1"/>
    <col min="783" max="784" width="11.5703125" style="82" customWidth="1"/>
    <col min="785" max="785" width="11.42578125" style="82" customWidth="1"/>
    <col min="786" max="787" width="9.28515625" style="82"/>
    <col min="788" max="788" width="11" style="82" customWidth="1"/>
    <col min="789" max="1032" width="9.28515625" style="82"/>
    <col min="1033" max="1033" width="7.5703125" style="82" customWidth="1"/>
    <col min="1034" max="1034" width="7.28515625" style="82" customWidth="1"/>
    <col min="1035" max="1035" width="9.28515625" style="82"/>
    <col min="1036" max="1036" width="12.28515625" style="82" customWidth="1"/>
    <col min="1037" max="1037" width="12.7109375" style="82" customWidth="1"/>
    <col min="1038" max="1038" width="10.7109375" style="82" customWidth="1"/>
    <col min="1039" max="1040" width="11.5703125" style="82" customWidth="1"/>
    <col min="1041" max="1041" width="11.42578125" style="82" customWidth="1"/>
    <col min="1042" max="1043" width="9.28515625" style="82"/>
    <col min="1044" max="1044" width="11" style="82" customWidth="1"/>
    <col min="1045" max="1288" width="9.28515625" style="82"/>
    <col min="1289" max="1289" width="7.5703125" style="82" customWidth="1"/>
    <col min="1290" max="1290" width="7.28515625" style="82" customWidth="1"/>
    <col min="1291" max="1291" width="9.28515625" style="82"/>
    <col min="1292" max="1292" width="12.28515625" style="82" customWidth="1"/>
    <col min="1293" max="1293" width="12.7109375" style="82" customWidth="1"/>
    <col min="1294" max="1294" width="10.7109375" style="82" customWidth="1"/>
    <col min="1295" max="1296" width="11.5703125" style="82" customWidth="1"/>
    <col min="1297" max="1297" width="11.42578125" style="82" customWidth="1"/>
    <col min="1298" max="1299" width="9.28515625" style="82"/>
    <col min="1300" max="1300" width="11" style="82" customWidth="1"/>
    <col min="1301" max="1544" width="9.28515625" style="82"/>
    <col min="1545" max="1545" width="7.5703125" style="82" customWidth="1"/>
    <col min="1546" max="1546" width="7.28515625" style="82" customWidth="1"/>
    <col min="1547" max="1547" width="9.28515625" style="82"/>
    <col min="1548" max="1548" width="12.28515625" style="82" customWidth="1"/>
    <col min="1549" max="1549" width="12.7109375" style="82" customWidth="1"/>
    <col min="1550" max="1550" width="10.7109375" style="82" customWidth="1"/>
    <col min="1551" max="1552" width="11.5703125" style="82" customWidth="1"/>
    <col min="1553" max="1553" width="11.42578125" style="82" customWidth="1"/>
    <col min="1554" max="1555" width="9.28515625" style="82"/>
    <col min="1556" max="1556" width="11" style="82" customWidth="1"/>
    <col min="1557" max="1800" width="9.28515625" style="82"/>
    <col min="1801" max="1801" width="7.5703125" style="82" customWidth="1"/>
    <col min="1802" max="1802" width="7.28515625" style="82" customWidth="1"/>
    <col min="1803" max="1803" width="9.28515625" style="82"/>
    <col min="1804" max="1804" width="12.28515625" style="82" customWidth="1"/>
    <col min="1805" max="1805" width="12.7109375" style="82" customWidth="1"/>
    <col min="1806" max="1806" width="10.7109375" style="82" customWidth="1"/>
    <col min="1807" max="1808" width="11.5703125" style="82" customWidth="1"/>
    <col min="1809" max="1809" width="11.42578125" style="82" customWidth="1"/>
    <col min="1810" max="1811" width="9.28515625" style="82"/>
    <col min="1812" max="1812" width="11" style="82" customWidth="1"/>
    <col min="1813" max="2056" width="9.28515625" style="82"/>
    <col min="2057" max="2057" width="7.5703125" style="82" customWidth="1"/>
    <col min="2058" max="2058" width="7.28515625" style="82" customWidth="1"/>
    <col min="2059" max="2059" width="9.28515625" style="82"/>
    <col min="2060" max="2060" width="12.28515625" style="82" customWidth="1"/>
    <col min="2061" max="2061" width="12.7109375" style="82" customWidth="1"/>
    <col min="2062" max="2062" width="10.7109375" style="82" customWidth="1"/>
    <col min="2063" max="2064" width="11.5703125" style="82" customWidth="1"/>
    <col min="2065" max="2065" width="11.42578125" style="82" customWidth="1"/>
    <col min="2066" max="2067" width="9.28515625" style="82"/>
    <col min="2068" max="2068" width="11" style="82" customWidth="1"/>
    <col min="2069" max="2312" width="9.28515625" style="82"/>
    <col min="2313" max="2313" width="7.5703125" style="82" customWidth="1"/>
    <col min="2314" max="2314" width="7.28515625" style="82" customWidth="1"/>
    <col min="2315" max="2315" width="9.28515625" style="82"/>
    <col min="2316" max="2316" width="12.28515625" style="82" customWidth="1"/>
    <col min="2317" max="2317" width="12.7109375" style="82" customWidth="1"/>
    <col min="2318" max="2318" width="10.7109375" style="82" customWidth="1"/>
    <col min="2319" max="2320" width="11.5703125" style="82" customWidth="1"/>
    <col min="2321" max="2321" width="11.42578125" style="82" customWidth="1"/>
    <col min="2322" max="2323" width="9.28515625" style="82"/>
    <col min="2324" max="2324" width="11" style="82" customWidth="1"/>
    <col min="2325" max="2568" width="9.28515625" style="82"/>
    <col min="2569" max="2569" width="7.5703125" style="82" customWidth="1"/>
    <col min="2570" max="2570" width="7.28515625" style="82" customWidth="1"/>
    <col min="2571" max="2571" width="9.28515625" style="82"/>
    <col min="2572" max="2572" width="12.28515625" style="82" customWidth="1"/>
    <col min="2573" max="2573" width="12.7109375" style="82" customWidth="1"/>
    <col min="2574" max="2574" width="10.7109375" style="82" customWidth="1"/>
    <col min="2575" max="2576" width="11.5703125" style="82" customWidth="1"/>
    <col min="2577" max="2577" width="11.42578125" style="82" customWidth="1"/>
    <col min="2578" max="2579" width="9.28515625" style="82"/>
    <col min="2580" max="2580" width="11" style="82" customWidth="1"/>
    <col min="2581" max="2824" width="9.28515625" style="82"/>
    <col min="2825" max="2825" width="7.5703125" style="82" customWidth="1"/>
    <col min="2826" max="2826" width="7.28515625" style="82" customWidth="1"/>
    <col min="2827" max="2827" width="9.28515625" style="82"/>
    <col min="2828" max="2828" width="12.28515625" style="82" customWidth="1"/>
    <col min="2829" max="2829" width="12.7109375" style="82" customWidth="1"/>
    <col min="2830" max="2830" width="10.7109375" style="82" customWidth="1"/>
    <col min="2831" max="2832" width="11.5703125" style="82" customWidth="1"/>
    <col min="2833" max="2833" width="11.42578125" style="82" customWidth="1"/>
    <col min="2834" max="2835" width="9.28515625" style="82"/>
    <col min="2836" max="2836" width="11" style="82" customWidth="1"/>
    <col min="2837" max="3080" width="9.28515625" style="82"/>
    <col min="3081" max="3081" width="7.5703125" style="82" customWidth="1"/>
    <col min="3082" max="3082" width="7.28515625" style="82" customWidth="1"/>
    <col min="3083" max="3083" width="9.28515625" style="82"/>
    <col min="3084" max="3084" width="12.28515625" style="82" customWidth="1"/>
    <col min="3085" max="3085" width="12.7109375" style="82" customWidth="1"/>
    <col min="3086" max="3086" width="10.7109375" style="82" customWidth="1"/>
    <col min="3087" max="3088" width="11.5703125" style="82" customWidth="1"/>
    <col min="3089" max="3089" width="11.42578125" style="82" customWidth="1"/>
    <col min="3090" max="3091" width="9.28515625" style="82"/>
    <col min="3092" max="3092" width="11" style="82" customWidth="1"/>
    <col min="3093" max="3336" width="9.28515625" style="82"/>
    <col min="3337" max="3337" width="7.5703125" style="82" customWidth="1"/>
    <col min="3338" max="3338" width="7.28515625" style="82" customWidth="1"/>
    <col min="3339" max="3339" width="9.28515625" style="82"/>
    <col min="3340" max="3340" width="12.28515625" style="82" customWidth="1"/>
    <col min="3341" max="3341" width="12.7109375" style="82" customWidth="1"/>
    <col min="3342" max="3342" width="10.7109375" style="82" customWidth="1"/>
    <col min="3343" max="3344" width="11.5703125" style="82" customWidth="1"/>
    <col min="3345" max="3345" width="11.42578125" style="82" customWidth="1"/>
    <col min="3346" max="3347" width="9.28515625" style="82"/>
    <col min="3348" max="3348" width="11" style="82" customWidth="1"/>
    <col min="3349" max="3592" width="9.28515625" style="82"/>
    <col min="3593" max="3593" width="7.5703125" style="82" customWidth="1"/>
    <col min="3594" max="3594" width="7.28515625" style="82" customWidth="1"/>
    <col min="3595" max="3595" width="9.28515625" style="82"/>
    <col min="3596" max="3596" width="12.28515625" style="82" customWidth="1"/>
    <col min="3597" max="3597" width="12.7109375" style="82" customWidth="1"/>
    <col min="3598" max="3598" width="10.7109375" style="82" customWidth="1"/>
    <col min="3599" max="3600" width="11.5703125" style="82" customWidth="1"/>
    <col min="3601" max="3601" width="11.42578125" style="82" customWidth="1"/>
    <col min="3602" max="3603" width="9.28515625" style="82"/>
    <col min="3604" max="3604" width="11" style="82" customWidth="1"/>
    <col min="3605" max="3848" width="9.28515625" style="82"/>
    <col min="3849" max="3849" width="7.5703125" style="82" customWidth="1"/>
    <col min="3850" max="3850" width="7.28515625" style="82" customWidth="1"/>
    <col min="3851" max="3851" width="9.28515625" style="82"/>
    <col min="3852" max="3852" width="12.28515625" style="82" customWidth="1"/>
    <col min="3853" max="3853" width="12.7109375" style="82" customWidth="1"/>
    <col min="3854" max="3854" width="10.7109375" style="82" customWidth="1"/>
    <col min="3855" max="3856" width="11.5703125" style="82" customWidth="1"/>
    <col min="3857" max="3857" width="11.42578125" style="82" customWidth="1"/>
    <col min="3858" max="3859" width="9.28515625" style="82"/>
    <col min="3860" max="3860" width="11" style="82" customWidth="1"/>
    <col min="3861" max="4104" width="9.28515625" style="82"/>
    <col min="4105" max="4105" width="7.5703125" style="82" customWidth="1"/>
    <col min="4106" max="4106" width="7.28515625" style="82" customWidth="1"/>
    <col min="4107" max="4107" width="9.28515625" style="82"/>
    <col min="4108" max="4108" width="12.28515625" style="82" customWidth="1"/>
    <col min="4109" max="4109" width="12.7109375" style="82" customWidth="1"/>
    <col min="4110" max="4110" width="10.7109375" style="82" customWidth="1"/>
    <col min="4111" max="4112" width="11.5703125" style="82" customWidth="1"/>
    <col min="4113" max="4113" width="11.42578125" style="82" customWidth="1"/>
    <col min="4114" max="4115" width="9.28515625" style="82"/>
    <col min="4116" max="4116" width="11" style="82" customWidth="1"/>
    <col min="4117" max="4360" width="9.28515625" style="82"/>
    <col min="4361" max="4361" width="7.5703125" style="82" customWidth="1"/>
    <col min="4362" max="4362" width="7.28515625" style="82" customWidth="1"/>
    <col min="4363" max="4363" width="9.28515625" style="82"/>
    <col min="4364" max="4364" width="12.28515625" style="82" customWidth="1"/>
    <col min="4365" max="4365" width="12.7109375" style="82" customWidth="1"/>
    <col min="4366" max="4366" width="10.7109375" style="82" customWidth="1"/>
    <col min="4367" max="4368" width="11.5703125" style="82" customWidth="1"/>
    <col min="4369" max="4369" width="11.42578125" style="82" customWidth="1"/>
    <col min="4370" max="4371" width="9.28515625" style="82"/>
    <col min="4372" max="4372" width="11" style="82" customWidth="1"/>
    <col min="4373" max="4616" width="9.28515625" style="82"/>
    <col min="4617" max="4617" width="7.5703125" style="82" customWidth="1"/>
    <col min="4618" max="4618" width="7.28515625" style="82" customWidth="1"/>
    <col min="4619" max="4619" width="9.28515625" style="82"/>
    <col min="4620" max="4620" width="12.28515625" style="82" customWidth="1"/>
    <col min="4621" max="4621" width="12.7109375" style="82" customWidth="1"/>
    <col min="4622" max="4622" width="10.7109375" style="82" customWidth="1"/>
    <col min="4623" max="4624" width="11.5703125" style="82" customWidth="1"/>
    <col min="4625" max="4625" width="11.42578125" style="82" customWidth="1"/>
    <col min="4626" max="4627" width="9.28515625" style="82"/>
    <col min="4628" max="4628" width="11" style="82" customWidth="1"/>
    <col min="4629" max="4872" width="9.28515625" style="82"/>
    <col min="4873" max="4873" width="7.5703125" style="82" customWidth="1"/>
    <col min="4874" max="4874" width="7.28515625" style="82" customWidth="1"/>
    <col min="4875" max="4875" width="9.28515625" style="82"/>
    <col min="4876" max="4876" width="12.28515625" style="82" customWidth="1"/>
    <col min="4877" max="4877" width="12.7109375" style="82" customWidth="1"/>
    <col min="4878" max="4878" width="10.7109375" style="82" customWidth="1"/>
    <col min="4879" max="4880" width="11.5703125" style="82" customWidth="1"/>
    <col min="4881" max="4881" width="11.42578125" style="82" customWidth="1"/>
    <col min="4882" max="4883" width="9.28515625" style="82"/>
    <col min="4884" max="4884" width="11" style="82" customWidth="1"/>
    <col min="4885" max="5128" width="9.28515625" style="82"/>
    <col min="5129" max="5129" width="7.5703125" style="82" customWidth="1"/>
    <col min="5130" max="5130" width="7.28515625" style="82" customWidth="1"/>
    <col min="5131" max="5131" width="9.28515625" style="82"/>
    <col min="5132" max="5132" width="12.28515625" style="82" customWidth="1"/>
    <col min="5133" max="5133" width="12.7109375" style="82" customWidth="1"/>
    <col min="5134" max="5134" width="10.7109375" style="82" customWidth="1"/>
    <col min="5135" max="5136" width="11.5703125" style="82" customWidth="1"/>
    <col min="5137" max="5137" width="11.42578125" style="82" customWidth="1"/>
    <col min="5138" max="5139" width="9.28515625" style="82"/>
    <col min="5140" max="5140" width="11" style="82" customWidth="1"/>
    <col min="5141" max="5384" width="9.28515625" style="82"/>
    <col min="5385" max="5385" width="7.5703125" style="82" customWidth="1"/>
    <col min="5386" max="5386" width="7.28515625" style="82" customWidth="1"/>
    <col min="5387" max="5387" width="9.28515625" style="82"/>
    <col min="5388" max="5388" width="12.28515625" style="82" customWidth="1"/>
    <col min="5389" max="5389" width="12.7109375" style="82" customWidth="1"/>
    <col min="5390" max="5390" width="10.7109375" style="82" customWidth="1"/>
    <col min="5391" max="5392" width="11.5703125" style="82" customWidth="1"/>
    <col min="5393" max="5393" width="11.42578125" style="82" customWidth="1"/>
    <col min="5394" max="5395" width="9.28515625" style="82"/>
    <col min="5396" max="5396" width="11" style="82" customWidth="1"/>
    <col min="5397" max="5640" width="9.28515625" style="82"/>
    <col min="5641" max="5641" width="7.5703125" style="82" customWidth="1"/>
    <col min="5642" max="5642" width="7.28515625" style="82" customWidth="1"/>
    <col min="5643" max="5643" width="9.28515625" style="82"/>
    <col min="5644" max="5644" width="12.28515625" style="82" customWidth="1"/>
    <col min="5645" max="5645" width="12.7109375" style="82" customWidth="1"/>
    <col min="5646" max="5646" width="10.7109375" style="82" customWidth="1"/>
    <col min="5647" max="5648" width="11.5703125" style="82" customWidth="1"/>
    <col min="5649" max="5649" width="11.42578125" style="82" customWidth="1"/>
    <col min="5650" max="5651" width="9.28515625" style="82"/>
    <col min="5652" max="5652" width="11" style="82" customWidth="1"/>
    <col min="5653" max="5896" width="9.28515625" style="82"/>
    <col min="5897" max="5897" width="7.5703125" style="82" customWidth="1"/>
    <col min="5898" max="5898" width="7.28515625" style="82" customWidth="1"/>
    <col min="5899" max="5899" width="9.28515625" style="82"/>
    <col min="5900" max="5900" width="12.28515625" style="82" customWidth="1"/>
    <col min="5901" max="5901" width="12.7109375" style="82" customWidth="1"/>
    <col min="5902" max="5902" width="10.7109375" style="82" customWidth="1"/>
    <col min="5903" max="5904" width="11.5703125" style="82" customWidth="1"/>
    <col min="5905" max="5905" width="11.42578125" style="82" customWidth="1"/>
    <col min="5906" max="5907" width="9.28515625" style="82"/>
    <col min="5908" max="5908" width="11" style="82" customWidth="1"/>
    <col min="5909" max="6152" width="9.28515625" style="82"/>
    <col min="6153" max="6153" width="7.5703125" style="82" customWidth="1"/>
    <col min="6154" max="6154" width="7.28515625" style="82" customWidth="1"/>
    <col min="6155" max="6155" width="9.28515625" style="82"/>
    <col min="6156" max="6156" width="12.28515625" style="82" customWidth="1"/>
    <col min="6157" max="6157" width="12.7109375" style="82" customWidth="1"/>
    <col min="6158" max="6158" width="10.7109375" style="82" customWidth="1"/>
    <col min="6159" max="6160" width="11.5703125" style="82" customWidth="1"/>
    <col min="6161" max="6161" width="11.42578125" style="82" customWidth="1"/>
    <col min="6162" max="6163" width="9.28515625" style="82"/>
    <col min="6164" max="6164" width="11" style="82" customWidth="1"/>
    <col min="6165" max="6408" width="9.28515625" style="82"/>
    <col min="6409" max="6409" width="7.5703125" style="82" customWidth="1"/>
    <col min="6410" max="6410" width="7.28515625" style="82" customWidth="1"/>
    <col min="6411" max="6411" width="9.28515625" style="82"/>
    <col min="6412" max="6412" width="12.28515625" style="82" customWidth="1"/>
    <col min="6413" max="6413" width="12.7109375" style="82" customWidth="1"/>
    <col min="6414" max="6414" width="10.7109375" style="82" customWidth="1"/>
    <col min="6415" max="6416" width="11.5703125" style="82" customWidth="1"/>
    <col min="6417" max="6417" width="11.42578125" style="82" customWidth="1"/>
    <col min="6418" max="6419" width="9.28515625" style="82"/>
    <col min="6420" max="6420" width="11" style="82" customWidth="1"/>
    <col min="6421" max="6664" width="9.28515625" style="82"/>
    <col min="6665" max="6665" width="7.5703125" style="82" customWidth="1"/>
    <col min="6666" max="6666" width="7.28515625" style="82" customWidth="1"/>
    <col min="6667" max="6667" width="9.28515625" style="82"/>
    <col min="6668" max="6668" width="12.28515625" style="82" customWidth="1"/>
    <col min="6669" max="6669" width="12.7109375" style="82" customWidth="1"/>
    <col min="6670" max="6670" width="10.7109375" style="82" customWidth="1"/>
    <col min="6671" max="6672" width="11.5703125" style="82" customWidth="1"/>
    <col min="6673" max="6673" width="11.42578125" style="82" customWidth="1"/>
    <col min="6674" max="6675" width="9.28515625" style="82"/>
    <col min="6676" max="6676" width="11" style="82" customWidth="1"/>
    <col min="6677" max="6920" width="9.28515625" style="82"/>
    <col min="6921" max="6921" width="7.5703125" style="82" customWidth="1"/>
    <col min="6922" max="6922" width="7.28515625" style="82" customWidth="1"/>
    <col min="6923" max="6923" width="9.28515625" style="82"/>
    <col min="6924" max="6924" width="12.28515625" style="82" customWidth="1"/>
    <col min="6925" max="6925" width="12.7109375" style="82" customWidth="1"/>
    <col min="6926" max="6926" width="10.7109375" style="82" customWidth="1"/>
    <col min="6927" max="6928" width="11.5703125" style="82" customWidth="1"/>
    <col min="6929" max="6929" width="11.42578125" style="82" customWidth="1"/>
    <col min="6930" max="6931" width="9.28515625" style="82"/>
    <col min="6932" max="6932" width="11" style="82" customWidth="1"/>
    <col min="6933" max="7176" width="9.28515625" style="82"/>
    <col min="7177" max="7177" width="7.5703125" style="82" customWidth="1"/>
    <col min="7178" max="7178" width="7.28515625" style="82" customWidth="1"/>
    <col min="7179" max="7179" width="9.28515625" style="82"/>
    <col min="7180" max="7180" width="12.28515625" style="82" customWidth="1"/>
    <col min="7181" max="7181" width="12.7109375" style="82" customWidth="1"/>
    <col min="7182" max="7182" width="10.7109375" style="82" customWidth="1"/>
    <col min="7183" max="7184" width="11.5703125" style="82" customWidth="1"/>
    <col min="7185" max="7185" width="11.42578125" style="82" customWidth="1"/>
    <col min="7186" max="7187" width="9.28515625" style="82"/>
    <col min="7188" max="7188" width="11" style="82" customWidth="1"/>
    <col min="7189" max="7432" width="9.28515625" style="82"/>
    <col min="7433" max="7433" width="7.5703125" style="82" customWidth="1"/>
    <col min="7434" max="7434" width="7.28515625" style="82" customWidth="1"/>
    <col min="7435" max="7435" width="9.28515625" style="82"/>
    <col min="7436" max="7436" width="12.28515625" style="82" customWidth="1"/>
    <col min="7437" max="7437" width="12.7109375" style="82" customWidth="1"/>
    <col min="7438" max="7438" width="10.7109375" style="82" customWidth="1"/>
    <col min="7439" max="7440" width="11.5703125" style="82" customWidth="1"/>
    <col min="7441" max="7441" width="11.42578125" style="82" customWidth="1"/>
    <col min="7442" max="7443" width="9.28515625" style="82"/>
    <col min="7444" max="7444" width="11" style="82" customWidth="1"/>
    <col min="7445" max="7688" width="9.28515625" style="82"/>
    <col min="7689" max="7689" width="7.5703125" style="82" customWidth="1"/>
    <col min="7690" max="7690" width="7.28515625" style="82" customWidth="1"/>
    <col min="7691" max="7691" width="9.28515625" style="82"/>
    <col min="7692" max="7692" width="12.28515625" style="82" customWidth="1"/>
    <col min="7693" max="7693" width="12.7109375" style="82" customWidth="1"/>
    <col min="7694" max="7694" width="10.7109375" style="82" customWidth="1"/>
    <col min="7695" max="7696" width="11.5703125" style="82" customWidth="1"/>
    <col min="7697" max="7697" width="11.42578125" style="82" customWidth="1"/>
    <col min="7698" max="7699" width="9.28515625" style="82"/>
    <col min="7700" max="7700" width="11" style="82" customWidth="1"/>
    <col min="7701" max="7944" width="9.28515625" style="82"/>
    <col min="7945" max="7945" width="7.5703125" style="82" customWidth="1"/>
    <col min="7946" max="7946" width="7.28515625" style="82" customWidth="1"/>
    <col min="7947" max="7947" width="9.28515625" style="82"/>
    <col min="7948" max="7948" width="12.28515625" style="82" customWidth="1"/>
    <col min="7949" max="7949" width="12.7109375" style="82" customWidth="1"/>
    <col min="7950" max="7950" width="10.7109375" style="82" customWidth="1"/>
    <col min="7951" max="7952" width="11.5703125" style="82" customWidth="1"/>
    <col min="7953" max="7953" width="11.42578125" style="82" customWidth="1"/>
    <col min="7954" max="7955" width="9.28515625" style="82"/>
    <col min="7956" max="7956" width="11" style="82" customWidth="1"/>
    <col min="7957" max="8200" width="9.28515625" style="82"/>
    <col min="8201" max="8201" width="7.5703125" style="82" customWidth="1"/>
    <col min="8202" max="8202" width="7.28515625" style="82" customWidth="1"/>
    <col min="8203" max="8203" width="9.28515625" style="82"/>
    <col min="8204" max="8204" width="12.28515625" style="82" customWidth="1"/>
    <col min="8205" max="8205" width="12.7109375" style="82" customWidth="1"/>
    <col min="8206" max="8206" width="10.7109375" style="82" customWidth="1"/>
    <col min="8207" max="8208" width="11.5703125" style="82" customWidth="1"/>
    <col min="8209" max="8209" width="11.42578125" style="82" customWidth="1"/>
    <col min="8210" max="8211" width="9.28515625" style="82"/>
    <col min="8212" max="8212" width="11" style="82" customWidth="1"/>
    <col min="8213" max="8456" width="9.28515625" style="82"/>
    <col min="8457" max="8457" width="7.5703125" style="82" customWidth="1"/>
    <col min="8458" max="8458" width="7.28515625" style="82" customWidth="1"/>
    <col min="8459" max="8459" width="9.28515625" style="82"/>
    <col min="8460" max="8460" width="12.28515625" style="82" customWidth="1"/>
    <col min="8461" max="8461" width="12.7109375" style="82" customWidth="1"/>
    <col min="8462" max="8462" width="10.7109375" style="82" customWidth="1"/>
    <col min="8463" max="8464" width="11.5703125" style="82" customWidth="1"/>
    <col min="8465" max="8465" width="11.42578125" style="82" customWidth="1"/>
    <col min="8466" max="8467" width="9.28515625" style="82"/>
    <col min="8468" max="8468" width="11" style="82" customWidth="1"/>
    <col min="8469" max="8712" width="9.28515625" style="82"/>
    <col min="8713" max="8713" width="7.5703125" style="82" customWidth="1"/>
    <col min="8714" max="8714" width="7.28515625" style="82" customWidth="1"/>
    <col min="8715" max="8715" width="9.28515625" style="82"/>
    <col min="8716" max="8716" width="12.28515625" style="82" customWidth="1"/>
    <col min="8717" max="8717" width="12.7109375" style="82" customWidth="1"/>
    <col min="8718" max="8718" width="10.7109375" style="82" customWidth="1"/>
    <col min="8719" max="8720" width="11.5703125" style="82" customWidth="1"/>
    <col min="8721" max="8721" width="11.42578125" style="82" customWidth="1"/>
    <col min="8722" max="8723" width="9.28515625" style="82"/>
    <col min="8724" max="8724" width="11" style="82" customWidth="1"/>
    <col min="8725" max="8968" width="9.28515625" style="82"/>
    <col min="8969" max="8969" width="7.5703125" style="82" customWidth="1"/>
    <col min="8970" max="8970" width="7.28515625" style="82" customWidth="1"/>
    <col min="8971" max="8971" width="9.28515625" style="82"/>
    <col min="8972" max="8972" width="12.28515625" style="82" customWidth="1"/>
    <col min="8973" max="8973" width="12.7109375" style="82" customWidth="1"/>
    <col min="8974" max="8974" width="10.7109375" style="82" customWidth="1"/>
    <col min="8975" max="8976" width="11.5703125" style="82" customWidth="1"/>
    <col min="8977" max="8977" width="11.42578125" style="82" customWidth="1"/>
    <col min="8978" max="8979" width="9.28515625" style="82"/>
    <col min="8980" max="8980" width="11" style="82" customWidth="1"/>
    <col min="8981" max="9224" width="9.28515625" style="82"/>
    <col min="9225" max="9225" width="7.5703125" style="82" customWidth="1"/>
    <col min="9226" max="9226" width="7.28515625" style="82" customWidth="1"/>
    <col min="9227" max="9227" width="9.28515625" style="82"/>
    <col min="9228" max="9228" width="12.28515625" style="82" customWidth="1"/>
    <col min="9229" max="9229" width="12.7109375" style="82" customWidth="1"/>
    <col min="9230" max="9230" width="10.7109375" style="82" customWidth="1"/>
    <col min="9231" max="9232" width="11.5703125" style="82" customWidth="1"/>
    <col min="9233" max="9233" width="11.42578125" style="82" customWidth="1"/>
    <col min="9234" max="9235" width="9.28515625" style="82"/>
    <col min="9236" max="9236" width="11" style="82" customWidth="1"/>
    <col min="9237" max="9480" width="9.28515625" style="82"/>
    <col min="9481" max="9481" width="7.5703125" style="82" customWidth="1"/>
    <col min="9482" max="9482" width="7.28515625" style="82" customWidth="1"/>
    <col min="9483" max="9483" width="9.28515625" style="82"/>
    <col min="9484" max="9484" width="12.28515625" style="82" customWidth="1"/>
    <col min="9485" max="9485" width="12.7109375" style="82" customWidth="1"/>
    <col min="9486" max="9486" width="10.7109375" style="82" customWidth="1"/>
    <col min="9487" max="9488" width="11.5703125" style="82" customWidth="1"/>
    <col min="9489" max="9489" width="11.42578125" style="82" customWidth="1"/>
    <col min="9490" max="9491" width="9.28515625" style="82"/>
    <col min="9492" max="9492" width="11" style="82" customWidth="1"/>
    <col min="9493" max="9736" width="9.28515625" style="82"/>
    <col min="9737" max="9737" width="7.5703125" style="82" customWidth="1"/>
    <col min="9738" max="9738" width="7.28515625" style="82" customWidth="1"/>
    <col min="9739" max="9739" width="9.28515625" style="82"/>
    <col min="9740" max="9740" width="12.28515625" style="82" customWidth="1"/>
    <col min="9741" max="9741" width="12.7109375" style="82" customWidth="1"/>
    <col min="9742" max="9742" width="10.7109375" style="82" customWidth="1"/>
    <col min="9743" max="9744" width="11.5703125" style="82" customWidth="1"/>
    <col min="9745" max="9745" width="11.42578125" style="82" customWidth="1"/>
    <col min="9746" max="9747" width="9.28515625" style="82"/>
    <col min="9748" max="9748" width="11" style="82" customWidth="1"/>
    <col min="9749" max="9992" width="9.28515625" style="82"/>
    <col min="9993" max="9993" width="7.5703125" style="82" customWidth="1"/>
    <col min="9994" max="9994" width="7.28515625" style="82" customWidth="1"/>
    <col min="9995" max="9995" width="9.28515625" style="82"/>
    <col min="9996" max="9996" width="12.28515625" style="82" customWidth="1"/>
    <col min="9997" max="9997" width="12.7109375" style="82" customWidth="1"/>
    <col min="9998" max="9998" width="10.7109375" style="82" customWidth="1"/>
    <col min="9999" max="10000" width="11.5703125" style="82" customWidth="1"/>
    <col min="10001" max="10001" width="11.42578125" style="82" customWidth="1"/>
    <col min="10002" max="10003" width="9.28515625" style="82"/>
    <col min="10004" max="10004" width="11" style="82" customWidth="1"/>
    <col min="10005" max="10248" width="9.28515625" style="82"/>
    <col min="10249" max="10249" width="7.5703125" style="82" customWidth="1"/>
    <col min="10250" max="10250" width="7.28515625" style="82" customWidth="1"/>
    <col min="10251" max="10251" width="9.28515625" style="82"/>
    <col min="10252" max="10252" width="12.28515625" style="82" customWidth="1"/>
    <col min="10253" max="10253" width="12.7109375" style="82" customWidth="1"/>
    <col min="10254" max="10254" width="10.7109375" style="82" customWidth="1"/>
    <col min="10255" max="10256" width="11.5703125" style="82" customWidth="1"/>
    <col min="10257" max="10257" width="11.42578125" style="82" customWidth="1"/>
    <col min="10258" max="10259" width="9.28515625" style="82"/>
    <col min="10260" max="10260" width="11" style="82" customWidth="1"/>
    <col min="10261" max="10504" width="9.28515625" style="82"/>
    <col min="10505" max="10505" width="7.5703125" style="82" customWidth="1"/>
    <col min="10506" max="10506" width="7.28515625" style="82" customWidth="1"/>
    <col min="10507" max="10507" width="9.28515625" style="82"/>
    <col min="10508" max="10508" width="12.28515625" style="82" customWidth="1"/>
    <col min="10509" max="10509" width="12.7109375" style="82" customWidth="1"/>
    <col min="10510" max="10510" width="10.7109375" style="82" customWidth="1"/>
    <col min="10511" max="10512" width="11.5703125" style="82" customWidth="1"/>
    <col min="10513" max="10513" width="11.42578125" style="82" customWidth="1"/>
    <col min="10514" max="10515" width="9.28515625" style="82"/>
    <col min="10516" max="10516" width="11" style="82" customWidth="1"/>
    <col min="10517" max="10760" width="9.28515625" style="82"/>
    <col min="10761" max="10761" width="7.5703125" style="82" customWidth="1"/>
    <col min="10762" max="10762" width="7.28515625" style="82" customWidth="1"/>
    <col min="10763" max="10763" width="9.28515625" style="82"/>
    <col min="10764" max="10764" width="12.28515625" style="82" customWidth="1"/>
    <col min="10765" max="10765" width="12.7109375" style="82" customWidth="1"/>
    <col min="10766" max="10766" width="10.7109375" style="82" customWidth="1"/>
    <col min="10767" max="10768" width="11.5703125" style="82" customWidth="1"/>
    <col min="10769" max="10769" width="11.42578125" style="82" customWidth="1"/>
    <col min="10770" max="10771" width="9.28515625" style="82"/>
    <col min="10772" max="10772" width="11" style="82" customWidth="1"/>
    <col min="10773" max="11016" width="9.28515625" style="82"/>
    <col min="11017" max="11017" width="7.5703125" style="82" customWidth="1"/>
    <col min="11018" max="11018" width="7.28515625" style="82" customWidth="1"/>
    <col min="11019" max="11019" width="9.28515625" style="82"/>
    <col min="11020" max="11020" width="12.28515625" style="82" customWidth="1"/>
    <col min="11021" max="11021" width="12.7109375" style="82" customWidth="1"/>
    <col min="11022" max="11022" width="10.7109375" style="82" customWidth="1"/>
    <col min="11023" max="11024" width="11.5703125" style="82" customWidth="1"/>
    <col min="11025" max="11025" width="11.42578125" style="82" customWidth="1"/>
    <col min="11026" max="11027" width="9.28515625" style="82"/>
    <col min="11028" max="11028" width="11" style="82" customWidth="1"/>
    <col min="11029" max="11272" width="9.28515625" style="82"/>
    <col min="11273" max="11273" width="7.5703125" style="82" customWidth="1"/>
    <col min="11274" max="11274" width="7.28515625" style="82" customWidth="1"/>
    <col min="11275" max="11275" width="9.28515625" style="82"/>
    <col min="11276" max="11276" width="12.28515625" style="82" customWidth="1"/>
    <col min="11277" max="11277" width="12.7109375" style="82" customWidth="1"/>
    <col min="11278" max="11278" width="10.7109375" style="82" customWidth="1"/>
    <col min="11279" max="11280" width="11.5703125" style="82" customWidth="1"/>
    <col min="11281" max="11281" width="11.42578125" style="82" customWidth="1"/>
    <col min="11282" max="11283" width="9.28515625" style="82"/>
    <col min="11284" max="11284" width="11" style="82" customWidth="1"/>
    <col min="11285" max="11528" width="9.28515625" style="82"/>
    <col min="11529" max="11529" width="7.5703125" style="82" customWidth="1"/>
    <col min="11530" max="11530" width="7.28515625" style="82" customWidth="1"/>
    <col min="11531" max="11531" width="9.28515625" style="82"/>
    <col min="11532" max="11532" width="12.28515625" style="82" customWidth="1"/>
    <col min="11533" max="11533" width="12.7109375" style="82" customWidth="1"/>
    <col min="11534" max="11534" width="10.7109375" style="82" customWidth="1"/>
    <col min="11535" max="11536" width="11.5703125" style="82" customWidth="1"/>
    <col min="11537" max="11537" width="11.42578125" style="82" customWidth="1"/>
    <col min="11538" max="11539" width="9.28515625" style="82"/>
    <col min="11540" max="11540" width="11" style="82" customWidth="1"/>
    <col min="11541" max="11784" width="9.28515625" style="82"/>
    <col min="11785" max="11785" width="7.5703125" style="82" customWidth="1"/>
    <col min="11786" max="11786" width="7.28515625" style="82" customWidth="1"/>
    <col min="11787" max="11787" width="9.28515625" style="82"/>
    <col min="11788" max="11788" width="12.28515625" style="82" customWidth="1"/>
    <col min="11789" max="11789" width="12.7109375" style="82" customWidth="1"/>
    <col min="11790" max="11790" width="10.7109375" style="82" customWidth="1"/>
    <col min="11791" max="11792" width="11.5703125" style="82" customWidth="1"/>
    <col min="11793" max="11793" width="11.42578125" style="82" customWidth="1"/>
    <col min="11794" max="11795" width="9.28515625" style="82"/>
    <col min="11796" max="11796" width="11" style="82" customWidth="1"/>
    <col min="11797" max="12040" width="9.28515625" style="82"/>
    <col min="12041" max="12041" width="7.5703125" style="82" customWidth="1"/>
    <col min="12042" max="12042" width="7.28515625" style="82" customWidth="1"/>
    <col min="12043" max="12043" width="9.28515625" style="82"/>
    <col min="12044" max="12044" width="12.28515625" style="82" customWidth="1"/>
    <col min="12045" max="12045" width="12.7109375" style="82" customWidth="1"/>
    <col min="12046" max="12046" width="10.7109375" style="82" customWidth="1"/>
    <col min="12047" max="12048" width="11.5703125" style="82" customWidth="1"/>
    <col min="12049" max="12049" width="11.42578125" style="82" customWidth="1"/>
    <col min="12050" max="12051" width="9.28515625" style="82"/>
    <col min="12052" max="12052" width="11" style="82" customWidth="1"/>
    <col min="12053" max="12296" width="9.28515625" style="82"/>
    <col min="12297" max="12297" width="7.5703125" style="82" customWidth="1"/>
    <col min="12298" max="12298" width="7.28515625" style="82" customWidth="1"/>
    <col min="12299" max="12299" width="9.28515625" style="82"/>
    <col min="12300" max="12300" width="12.28515625" style="82" customWidth="1"/>
    <col min="12301" max="12301" width="12.7109375" style="82" customWidth="1"/>
    <col min="12302" max="12302" width="10.7109375" style="82" customWidth="1"/>
    <col min="12303" max="12304" width="11.5703125" style="82" customWidth="1"/>
    <col min="12305" max="12305" width="11.42578125" style="82" customWidth="1"/>
    <col min="12306" max="12307" width="9.28515625" style="82"/>
    <col min="12308" max="12308" width="11" style="82" customWidth="1"/>
    <col min="12309" max="12552" width="9.28515625" style="82"/>
    <col min="12553" max="12553" width="7.5703125" style="82" customWidth="1"/>
    <col min="12554" max="12554" width="7.28515625" style="82" customWidth="1"/>
    <col min="12555" max="12555" width="9.28515625" style="82"/>
    <col min="12556" max="12556" width="12.28515625" style="82" customWidth="1"/>
    <col min="12557" max="12557" width="12.7109375" style="82" customWidth="1"/>
    <col min="12558" max="12558" width="10.7109375" style="82" customWidth="1"/>
    <col min="12559" max="12560" width="11.5703125" style="82" customWidth="1"/>
    <col min="12561" max="12561" width="11.42578125" style="82" customWidth="1"/>
    <col min="12562" max="12563" width="9.28515625" style="82"/>
    <col min="12564" max="12564" width="11" style="82" customWidth="1"/>
    <col min="12565" max="12808" width="9.28515625" style="82"/>
    <col min="12809" max="12809" width="7.5703125" style="82" customWidth="1"/>
    <col min="12810" max="12810" width="7.28515625" style="82" customWidth="1"/>
    <col min="12811" max="12811" width="9.28515625" style="82"/>
    <col min="12812" max="12812" width="12.28515625" style="82" customWidth="1"/>
    <col min="12813" max="12813" width="12.7109375" style="82" customWidth="1"/>
    <col min="12814" max="12814" width="10.7109375" style="82" customWidth="1"/>
    <col min="12815" max="12816" width="11.5703125" style="82" customWidth="1"/>
    <col min="12817" max="12817" width="11.42578125" style="82" customWidth="1"/>
    <col min="12818" max="12819" width="9.28515625" style="82"/>
    <col min="12820" max="12820" width="11" style="82" customWidth="1"/>
    <col min="12821" max="13064" width="9.28515625" style="82"/>
    <col min="13065" max="13065" width="7.5703125" style="82" customWidth="1"/>
    <col min="13066" max="13066" width="7.28515625" style="82" customWidth="1"/>
    <col min="13067" max="13067" width="9.28515625" style="82"/>
    <col min="13068" max="13068" width="12.28515625" style="82" customWidth="1"/>
    <col min="13069" max="13069" width="12.7109375" style="82" customWidth="1"/>
    <col min="13070" max="13070" width="10.7109375" style="82" customWidth="1"/>
    <col min="13071" max="13072" width="11.5703125" style="82" customWidth="1"/>
    <col min="13073" max="13073" width="11.42578125" style="82" customWidth="1"/>
    <col min="13074" max="13075" width="9.28515625" style="82"/>
    <col min="13076" max="13076" width="11" style="82" customWidth="1"/>
    <col min="13077" max="13320" width="9.28515625" style="82"/>
    <col min="13321" max="13321" width="7.5703125" style="82" customWidth="1"/>
    <col min="13322" max="13322" width="7.28515625" style="82" customWidth="1"/>
    <col min="13323" max="13323" width="9.28515625" style="82"/>
    <col min="13324" max="13324" width="12.28515625" style="82" customWidth="1"/>
    <col min="13325" max="13325" width="12.7109375" style="82" customWidth="1"/>
    <col min="13326" max="13326" width="10.7109375" style="82" customWidth="1"/>
    <col min="13327" max="13328" width="11.5703125" style="82" customWidth="1"/>
    <col min="13329" max="13329" width="11.42578125" style="82" customWidth="1"/>
    <col min="13330" max="13331" width="9.28515625" style="82"/>
    <col min="13332" max="13332" width="11" style="82" customWidth="1"/>
    <col min="13333" max="13576" width="9.28515625" style="82"/>
    <col min="13577" max="13577" width="7.5703125" style="82" customWidth="1"/>
    <col min="13578" max="13578" width="7.28515625" style="82" customWidth="1"/>
    <col min="13579" max="13579" width="9.28515625" style="82"/>
    <col min="13580" max="13580" width="12.28515625" style="82" customWidth="1"/>
    <col min="13581" max="13581" width="12.7109375" style="82" customWidth="1"/>
    <col min="13582" max="13582" width="10.7109375" style="82" customWidth="1"/>
    <col min="13583" max="13584" width="11.5703125" style="82" customWidth="1"/>
    <col min="13585" max="13585" width="11.42578125" style="82" customWidth="1"/>
    <col min="13586" max="13587" width="9.28515625" style="82"/>
    <col min="13588" max="13588" width="11" style="82" customWidth="1"/>
    <col min="13589" max="13832" width="9.28515625" style="82"/>
    <col min="13833" max="13833" width="7.5703125" style="82" customWidth="1"/>
    <col min="13834" max="13834" width="7.28515625" style="82" customWidth="1"/>
    <col min="13835" max="13835" width="9.28515625" style="82"/>
    <col min="13836" max="13836" width="12.28515625" style="82" customWidth="1"/>
    <col min="13837" max="13837" width="12.7109375" style="82" customWidth="1"/>
    <col min="13838" max="13838" width="10.7109375" style="82" customWidth="1"/>
    <col min="13839" max="13840" width="11.5703125" style="82" customWidth="1"/>
    <col min="13841" max="13841" width="11.42578125" style="82" customWidth="1"/>
    <col min="13842" max="13843" width="9.28515625" style="82"/>
    <col min="13844" max="13844" width="11" style="82" customWidth="1"/>
    <col min="13845" max="14088" width="9.28515625" style="82"/>
    <col min="14089" max="14089" width="7.5703125" style="82" customWidth="1"/>
    <col min="14090" max="14090" width="7.28515625" style="82" customWidth="1"/>
    <col min="14091" max="14091" width="9.28515625" style="82"/>
    <col min="14092" max="14092" width="12.28515625" style="82" customWidth="1"/>
    <col min="14093" max="14093" width="12.7109375" style="82" customWidth="1"/>
    <col min="14094" max="14094" width="10.7109375" style="82" customWidth="1"/>
    <col min="14095" max="14096" width="11.5703125" style="82" customWidth="1"/>
    <col min="14097" max="14097" width="11.42578125" style="82" customWidth="1"/>
    <col min="14098" max="14099" width="9.28515625" style="82"/>
    <col min="14100" max="14100" width="11" style="82" customWidth="1"/>
    <col min="14101" max="14344" width="9.28515625" style="82"/>
    <col min="14345" max="14345" width="7.5703125" style="82" customWidth="1"/>
    <col min="14346" max="14346" width="7.28515625" style="82" customWidth="1"/>
    <col min="14347" max="14347" width="9.28515625" style="82"/>
    <col min="14348" max="14348" width="12.28515625" style="82" customWidth="1"/>
    <col min="14349" max="14349" width="12.7109375" style="82" customWidth="1"/>
    <col min="14350" max="14350" width="10.7109375" style="82" customWidth="1"/>
    <col min="14351" max="14352" width="11.5703125" style="82" customWidth="1"/>
    <col min="14353" max="14353" width="11.42578125" style="82" customWidth="1"/>
    <col min="14354" max="14355" width="9.28515625" style="82"/>
    <col min="14356" max="14356" width="11" style="82" customWidth="1"/>
    <col min="14357" max="14600" width="9.28515625" style="82"/>
    <col min="14601" max="14601" width="7.5703125" style="82" customWidth="1"/>
    <col min="14602" max="14602" width="7.28515625" style="82" customWidth="1"/>
    <col min="14603" max="14603" width="9.28515625" style="82"/>
    <col min="14604" max="14604" width="12.28515625" style="82" customWidth="1"/>
    <col min="14605" max="14605" width="12.7109375" style="82" customWidth="1"/>
    <col min="14606" max="14606" width="10.7109375" style="82" customWidth="1"/>
    <col min="14607" max="14608" width="11.5703125" style="82" customWidth="1"/>
    <col min="14609" max="14609" width="11.42578125" style="82" customWidth="1"/>
    <col min="14610" max="14611" width="9.28515625" style="82"/>
    <col min="14612" max="14612" width="11" style="82" customWidth="1"/>
    <col min="14613" max="14856" width="9.28515625" style="82"/>
    <col min="14857" max="14857" width="7.5703125" style="82" customWidth="1"/>
    <col min="14858" max="14858" width="7.28515625" style="82" customWidth="1"/>
    <col min="14859" max="14859" width="9.28515625" style="82"/>
    <col min="14860" max="14860" width="12.28515625" style="82" customWidth="1"/>
    <col min="14861" max="14861" width="12.7109375" style="82" customWidth="1"/>
    <col min="14862" max="14862" width="10.7109375" style="82" customWidth="1"/>
    <col min="14863" max="14864" width="11.5703125" style="82" customWidth="1"/>
    <col min="14865" max="14865" width="11.42578125" style="82" customWidth="1"/>
    <col min="14866" max="14867" width="9.28515625" style="82"/>
    <col min="14868" max="14868" width="11" style="82" customWidth="1"/>
    <col min="14869" max="15112" width="9.28515625" style="82"/>
    <col min="15113" max="15113" width="7.5703125" style="82" customWidth="1"/>
    <col min="15114" max="15114" width="7.28515625" style="82" customWidth="1"/>
    <col min="15115" max="15115" width="9.28515625" style="82"/>
    <col min="15116" max="15116" width="12.28515625" style="82" customWidth="1"/>
    <col min="15117" max="15117" width="12.7109375" style="82" customWidth="1"/>
    <col min="15118" max="15118" width="10.7109375" style="82" customWidth="1"/>
    <col min="15119" max="15120" width="11.5703125" style="82" customWidth="1"/>
    <col min="15121" max="15121" width="11.42578125" style="82" customWidth="1"/>
    <col min="15122" max="15123" width="9.28515625" style="82"/>
    <col min="15124" max="15124" width="11" style="82" customWidth="1"/>
    <col min="15125" max="15368" width="9.28515625" style="82"/>
    <col min="15369" max="15369" width="7.5703125" style="82" customWidth="1"/>
    <col min="15370" max="15370" width="7.28515625" style="82" customWidth="1"/>
    <col min="15371" max="15371" width="9.28515625" style="82"/>
    <col min="15372" max="15372" width="12.28515625" style="82" customWidth="1"/>
    <col min="15373" max="15373" width="12.7109375" style="82" customWidth="1"/>
    <col min="15374" max="15374" width="10.7109375" style="82" customWidth="1"/>
    <col min="15375" max="15376" width="11.5703125" style="82" customWidth="1"/>
    <col min="15377" max="15377" width="11.42578125" style="82" customWidth="1"/>
    <col min="15378" max="15379" width="9.28515625" style="82"/>
    <col min="15380" max="15380" width="11" style="82" customWidth="1"/>
    <col min="15381" max="15624" width="9.28515625" style="82"/>
    <col min="15625" max="15625" width="7.5703125" style="82" customWidth="1"/>
    <col min="15626" max="15626" width="7.28515625" style="82" customWidth="1"/>
    <col min="15627" max="15627" width="9.28515625" style="82"/>
    <col min="15628" max="15628" width="12.28515625" style="82" customWidth="1"/>
    <col min="15629" max="15629" width="12.7109375" style="82" customWidth="1"/>
    <col min="15630" max="15630" width="10.7109375" style="82" customWidth="1"/>
    <col min="15631" max="15632" width="11.5703125" style="82" customWidth="1"/>
    <col min="15633" max="15633" width="11.42578125" style="82" customWidth="1"/>
    <col min="15634" max="15635" width="9.28515625" style="82"/>
    <col min="15636" max="15636" width="11" style="82" customWidth="1"/>
    <col min="15637" max="15880" width="9.28515625" style="82"/>
    <col min="15881" max="15881" width="7.5703125" style="82" customWidth="1"/>
    <col min="15882" max="15882" width="7.28515625" style="82" customWidth="1"/>
    <col min="15883" max="15883" width="9.28515625" style="82"/>
    <col min="15884" max="15884" width="12.28515625" style="82" customWidth="1"/>
    <col min="15885" max="15885" width="12.7109375" style="82" customWidth="1"/>
    <col min="15886" max="15886" width="10.7109375" style="82" customWidth="1"/>
    <col min="15887" max="15888" width="11.5703125" style="82" customWidth="1"/>
    <col min="15889" max="15889" width="11.42578125" style="82" customWidth="1"/>
    <col min="15890" max="15891" width="9.28515625" style="82"/>
    <col min="15892" max="15892" width="11" style="82" customWidth="1"/>
    <col min="15893" max="16136" width="9.28515625" style="82"/>
    <col min="16137" max="16137" width="7.5703125" style="82" customWidth="1"/>
    <col min="16138" max="16138" width="7.28515625" style="82" customWidth="1"/>
    <col min="16139" max="16139" width="9.28515625" style="82"/>
    <col min="16140" max="16140" width="12.28515625" style="82" customWidth="1"/>
    <col min="16141" max="16141" width="12.7109375" style="82" customWidth="1"/>
    <col min="16142" max="16142" width="10.7109375" style="82" customWidth="1"/>
    <col min="16143" max="16144" width="11.5703125" style="82" customWidth="1"/>
    <col min="16145" max="16145" width="11.42578125" style="82" customWidth="1"/>
    <col min="16146" max="16147" width="9.28515625" style="82"/>
    <col min="16148" max="16148" width="11" style="82" customWidth="1"/>
    <col min="16149" max="16384" width="9.28515625" style="82"/>
  </cols>
  <sheetData>
    <row r="1" spans="1:33" ht="27.75" customHeight="1" thickBot="1">
      <c r="A1" s="1633" t="s">
        <v>2972</v>
      </c>
      <c r="B1" s="1633"/>
      <c r="C1" s="1633"/>
      <c r="D1" s="1633"/>
      <c r="E1" s="1633"/>
      <c r="F1" s="1633"/>
      <c r="G1" s="1633"/>
      <c r="H1" s="1633"/>
      <c r="I1" s="1633"/>
      <c r="O1" s="1642" t="s">
        <v>2922</v>
      </c>
      <c r="P1" s="1642"/>
      <c r="Q1" s="1642"/>
      <c r="R1" s="1642"/>
      <c r="S1" s="1642"/>
      <c r="T1" s="1642"/>
      <c r="U1" s="1642"/>
      <c r="V1" s="1642"/>
      <c r="W1" s="1642"/>
      <c r="X1" s="1642"/>
      <c r="Y1" s="1642"/>
      <c r="Z1" s="1642"/>
      <c r="AA1" s="1642"/>
      <c r="AB1" s="1642"/>
      <c r="AC1" s="1642"/>
      <c r="AD1" s="1642"/>
      <c r="AE1" s="1642"/>
      <c r="AF1" s="1642"/>
      <c r="AG1" s="1642"/>
    </row>
    <row r="2" spans="1:33" ht="24" customHeight="1">
      <c r="A2" s="1636" t="s">
        <v>369</v>
      </c>
      <c r="B2" s="1638" t="s">
        <v>370</v>
      </c>
      <c r="C2" s="1638"/>
      <c r="D2" s="1639" t="s">
        <v>8</v>
      </c>
      <c r="E2" s="1641" t="s">
        <v>2151</v>
      </c>
      <c r="F2" s="1641"/>
      <c r="G2" s="1641"/>
      <c r="H2" s="1641"/>
      <c r="I2" s="1634" t="s">
        <v>1427</v>
      </c>
      <c r="J2"/>
      <c r="K2"/>
      <c r="L2"/>
      <c r="M2"/>
      <c r="N2"/>
      <c r="O2" s="1535" t="s">
        <v>370</v>
      </c>
      <c r="P2" s="1645" t="s">
        <v>8</v>
      </c>
      <c r="Q2" s="1517" t="s">
        <v>2923</v>
      </c>
      <c r="R2" s="1518" t="s">
        <v>1755</v>
      </c>
      <c r="S2" s="1519" t="s">
        <v>2924</v>
      </c>
      <c r="T2" s="1520" t="s">
        <v>2925</v>
      </c>
      <c r="U2" s="1517" t="s">
        <v>2923</v>
      </c>
      <c r="V2" s="1518" t="s">
        <v>1755</v>
      </c>
      <c r="W2" s="1519" t="s">
        <v>2924</v>
      </c>
      <c r="X2" s="1520" t="s">
        <v>2925</v>
      </c>
      <c r="Y2" s="1517" t="s">
        <v>2923</v>
      </c>
      <c r="Z2" s="1518" t="s">
        <v>1755</v>
      </c>
      <c r="AA2" s="1519" t="s">
        <v>2924</v>
      </c>
      <c r="AB2" s="1520" t="s">
        <v>2925</v>
      </c>
      <c r="AC2" s="1517" t="s">
        <v>2923</v>
      </c>
      <c r="AD2" s="1518" t="s">
        <v>1755</v>
      </c>
      <c r="AE2" s="1519" t="s">
        <v>2924</v>
      </c>
      <c r="AF2" s="1520" t="s">
        <v>2925</v>
      </c>
      <c r="AG2" s="1647" t="s">
        <v>1427</v>
      </c>
    </row>
    <row r="3" spans="1:33" ht="33" customHeight="1" thickBot="1">
      <c r="A3" s="1637"/>
      <c r="B3" s="540" t="s">
        <v>371</v>
      </c>
      <c r="C3" s="540" t="s">
        <v>372</v>
      </c>
      <c r="D3" s="1640"/>
      <c r="E3" s="541" t="s">
        <v>373</v>
      </c>
      <c r="F3" s="541" t="s">
        <v>374</v>
      </c>
      <c r="G3" s="541" t="s">
        <v>375</v>
      </c>
      <c r="H3" s="541" t="s">
        <v>376</v>
      </c>
      <c r="I3" s="1635"/>
      <c r="J3"/>
      <c r="K3"/>
      <c r="L3"/>
      <c r="M3"/>
      <c r="N3"/>
      <c r="O3" s="1536" t="s">
        <v>371</v>
      </c>
      <c r="P3" s="1646"/>
      <c r="Q3" s="1643" t="s">
        <v>2918</v>
      </c>
      <c r="R3" s="1644"/>
      <c r="S3" s="1516" t="s">
        <v>2916</v>
      </c>
      <c r="T3" s="1521" t="s">
        <v>2916</v>
      </c>
      <c r="U3" s="1643" t="s">
        <v>2919</v>
      </c>
      <c r="V3" s="1644"/>
      <c r="W3" s="1516" t="s">
        <v>2916</v>
      </c>
      <c r="X3" s="1521" t="s">
        <v>2916</v>
      </c>
      <c r="Y3" s="1643" t="s">
        <v>2920</v>
      </c>
      <c r="Z3" s="1644"/>
      <c r="AA3" s="1516" t="s">
        <v>2916</v>
      </c>
      <c r="AB3" s="1521" t="s">
        <v>2916</v>
      </c>
      <c r="AC3" s="1643" t="s">
        <v>2921</v>
      </c>
      <c r="AD3" s="1644"/>
      <c r="AE3" s="1516" t="s">
        <v>2916</v>
      </c>
      <c r="AF3" s="1521" t="s">
        <v>2916</v>
      </c>
      <c r="AG3" s="1648"/>
    </row>
    <row r="4" spans="1:33" ht="24.75">
      <c r="A4" s="215" t="s">
        <v>1403</v>
      </c>
      <c r="B4" s="216">
        <v>20</v>
      </c>
      <c r="C4" s="216" t="s">
        <v>380</v>
      </c>
      <c r="D4" s="217" t="s">
        <v>378</v>
      </c>
      <c r="E4" s="218" t="s">
        <v>379</v>
      </c>
      <c r="F4" s="218" t="s">
        <v>379</v>
      </c>
      <c r="G4" s="218" t="s">
        <v>379</v>
      </c>
      <c r="H4" s="219">
        <f>28*1.1</f>
        <v>30.800000000000004</v>
      </c>
      <c r="I4" s="1066"/>
      <c r="J4"/>
      <c r="K4"/>
      <c r="L4"/>
      <c r="M4"/>
      <c r="N4"/>
      <c r="O4" s="1537">
        <v>20</v>
      </c>
      <c r="P4" s="1533" t="s">
        <v>378</v>
      </c>
      <c r="Q4" s="1522"/>
      <c r="R4" s="1508"/>
      <c r="S4" s="1508"/>
      <c r="T4" s="1523"/>
      <c r="U4" s="1522"/>
      <c r="V4" s="1508"/>
      <c r="W4" s="1508"/>
      <c r="X4" s="1523"/>
      <c r="Y4" s="1522"/>
      <c r="Z4" s="1508"/>
      <c r="AA4" s="1508"/>
      <c r="AB4" s="1523"/>
      <c r="AC4" s="1524"/>
      <c r="AD4" s="298"/>
      <c r="AE4" s="298"/>
      <c r="AF4" s="1531"/>
      <c r="AG4" s="1539"/>
    </row>
    <row r="5" spans="1:33" ht="22.5">
      <c r="A5" s="102">
        <v>2</v>
      </c>
      <c r="B5" s="103">
        <v>25</v>
      </c>
      <c r="C5" s="103" t="s">
        <v>381</v>
      </c>
      <c r="D5" s="104" t="s">
        <v>378</v>
      </c>
      <c r="E5" s="105" t="s">
        <v>379</v>
      </c>
      <c r="F5" s="105" t="s">
        <v>379</v>
      </c>
      <c r="G5" s="105" t="s">
        <v>379</v>
      </c>
      <c r="H5" s="101">
        <f>44*1.1</f>
        <v>48.400000000000006</v>
      </c>
      <c r="I5" s="1067"/>
      <c r="J5"/>
      <c r="K5"/>
      <c r="L5"/>
      <c r="M5"/>
      <c r="N5"/>
      <c r="O5" s="1537">
        <v>25</v>
      </c>
      <c r="P5" s="1533" t="s">
        <v>378</v>
      </c>
      <c r="Q5" s="1522"/>
      <c r="R5" s="1508"/>
      <c r="S5" s="1508"/>
      <c r="T5" s="1523"/>
      <c r="U5" s="1522"/>
      <c r="V5" s="1508"/>
      <c r="W5" s="1508"/>
      <c r="X5" s="1523"/>
      <c r="Y5" s="1522"/>
      <c r="Z5" s="1508"/>
      <c r="AA5" s="1508"/>
      <c r="AB5" s="1523"/>
      <c r="AC5" s="1524"/>
      <c r="AD5" s="298"/>
      <c r="AE5" s="298"/>
      <c r="AF5" s="1531"/>
      <c r="AG5" s="1539"/>
    </row>
    <row r="6" spans="1:33" ht="22.5">
      <c r="A6" s="102">
        <v>3</v>
      </c>
      <c r="B6" s="103">
        <v>32</v>
      </c>
      <c r="C6" s="103" t="s">
        <v>382</v>
      </c>
      <c r="D6" s="104" t="s">
        <v>378</v>
      </c>
      <c r="E6" s="105" t="s">
        <v>379</v>
      </c>
      <c r="F6" s="105" t="s">
        <v>379</v>
      </c>
      <c r="G6" s="105" t="s">
        <v>379</v>
      </c>
      <c r="H6" s="101">
        <f>72*1.1</f>
        <v>79.2</v>
      </c>
      <c r="I6" s="1067"/>
      <c r="J6"/>
      <c r="K6"/>
      <c r="L6"/>
      <c r="M6"/>
      <c r="N6"/>
      <c r="O6" s="1537">
        <v>32</v>
      </c>
      <c r="P6" s="1533" t="s">
        <v>378</v>
      </c>
      <c r="Q6" s="1522"/>
      <c r="R6" s="1508"/>
      <c r="S6" s="1508"/>
      <c r="T6" s="1523"/>
      <c r="U6" s="1522"/>
      <c r="V6" s="1508"/>
      <c r="W6" s="1508"/>
      <c r="X6" s="1523"/>
      <c r="Y6" s="1522"/>
      <c r="Z6" s="1508"/>
      <c r="AA6" s="1508"/>
      <c r="AB6" s="1523"/>
      <c r="AC6" s="1524"/>
      <c r="AD6" s="298"/>
      <c r="AE6" s="298"/>
      <c r="AF6" s="1531"/>
      <c r="AG6" s="1539"/>
    </row>
    <row r="7" spans="1:33" ht="22.5">
      <c r="A7" s="102">
        <v>4</v>
      </c>
      <c r="B7" s="103">
        <v>40</v>
      </c>
      <c r="C7" s="103" t="s">
        <v>383</v>
      </c>
      <c r="D7" s="104" t="s">
        <v>378</v>
      </c>
      <c r="E7" s="105" t="s">
        <v>379</v>
      </c>
      <c r="F7" s="105" t="s">
        <v>379</v>
      </c>
      <c r="G7" s="101">
        <f>100*1.1</f>
        <v>110.00000000000001</v>
      </c>
      <c r="H7" s="101">
        <f>170*1.1</f>
        <v>187.00000000000003</v>
      </c>
      <c r="I7" s="1067"/>
      <c r="J7">
        <v>178</v>
      </c>
      <c r="K7"/>
      <c r="L7"/>
      <c r="M7"/>
      <c r="N7"/>
      <c r="O7" s="1537">
        <v>40</v>
      </c>
      <c r="P7" s="1533" t="s">
        <v>378</v>
      </c>
      <c r="Q7" s="1522"/>
      <c r="R7" s="1508"/>
      <c r="S7" s="1508"/>
      <c r="T7" s="1523"/>
      <c r="U7" s="1522"/>
      <c r="V7" s="1508"/>
      <c r="W7" s="1508"/>
      <c r="X7" s="1523"/>
      <c r="Y7" s="1524">
        <v>178</v>
      </c>
      <c r="Z7" s="298">
        <v>94</v>
      </c>
      <c r="AA7" s="1514">
        <f>(Y7-G7)/Y7</f>
        <v>0.38202247191011229</v>
      </c>
      <c r="AB7" s="1525">
        <f>(Y7-Z7)/Y7</f>
        <v>0.47191011235955055</v>
      </c>
      <c r="AC7" s="1524">
        <v>265</v>
      </c>
      <c r="AD7" s="298">
        <v>141</v>
      </c>
      <c r="AE7" s="1513">
        <f>(AC7-H7)/AC7</f>
        <v>0.29433962264150931</v>
      </c>
      <c r="AF7" s="1525">
        <f>(AC7-AD7)/AC7</f>
        <v>0.4679245283018868</v>
      </c>
      <c r="AG7" s="1539"/>
    </row>
    <row r="8" spans="1:33" ht="22.5">
      <c r="A8" s="102">
        <v>5</v>
      </c>
      <c r="B8" s="103">
        <v>50</v>
      </c>
      <c r="C8" s="103" t="s">
        <v>384</v>
      </c>
      <c r="D8" s="104" t="s">
        <v>378</v>
      </c>
      <c r="E8" s="105" t="s">
        <v>379</v>
      </c>
      <c r="F8" s="105" t="s">
        <v>379</v>
      </c>
      <c r="G8" s="101">
        <f>140*1.1</f>
        <v>154</v>
      </c>
      <c r="H8" s="101">
        <f>200*1.1</f>
        <v>220.00000000000003</v>
      </c>
      <c r="I8" s="1067"/>
      <c r="J8"/>
      <c r="K8"/>
      <c r="L8"/>
      <c r="M8"/>
      <c r="N8"/>
      <c r="O8" s="1537">
        <v>50</v>
      </c>
      <c r="P8" s="1533" t="s">
        <v>378</v>
      </c>
      <c r="Q8" s="1522"/>
      <c r="R8" s="1508"/>
      <c r="S8" s="1508"/>
      <c r="T8" s="1523"/>
      <c r="U8" s="1522"/>
      <c r="V8" s="1508"/>
      <c r="W8" s="1508"/>
      <c r="X8" s="1523"/>
      <c r="Y8" s="1524">
        <v>240</v>
      </c>
      <c r="Z8" s="298">
        <v>142</v>
      </c>
      <c r="AA8" s="1514">
        <f t="shared" ref="AA8:AA17" si="0">(Y8-G8)/Y8</f>
        <v>0.35833333333333334</v>
      </c>
      <c r="AB8" s="1525">
        <f t="shared" ref="AB8:AB17" si="1">(Y8-Z8)/Y8</f>
        <v>0.40833333333333333</v>
      </c>
      <c r="AC8" s="1524">
        <v>400</v>
      </c>
      <c r="AD8" s="298">
        <v>221</v>
      </c>
      <c r="AE8" s="1513">
        <f t="shared" ref="AE8:AE17" si="2">(AC8-H8)/AC8</f>
        <v>0.44999999999999996</v>
      </c>
      <c r="AF8" s="1525">
        <f t="shared" ref="AF8:AF17" si="3">(AC8-AD8)/AC8</f>
        <v>0.44750000000000001</v>
      </c>
      <c r="AG8" s="1539"/>
    </row>
    <row r="9" spans="1:33" ht="22.5">
      <c r="A9" s="102">
        <v>6</v>
      </c>
      <c r="B9" s="103">
        <v>63</v>
      </c>
      <c r="C9" s="103" t="s">
        <v>385</v>
      </c>
      <c r="D9" s="104" t="s">
        <v>378</v>
      </c>
      <c r="E9" s="105" t="s">
        <v>379</v>
      </c>
      <c r="F9" s="101">
        <f>190*1.1</f>
        <v>209.00000000000003</v>
      </c>
      <c r="G9" s="101">
        <f>290*1.1</f>
        <v>319</v>
      </c>
      <c r="H9" s="101">
        <f>400*1.1</f>
        <v>440.00000000000006</v>
      </c>
      <c r="I9" s="1067"/>
      <c r="J9"/>
      <c r="K9"/>
      <c r="L9"/>
      <c r="M9"/>
      <c r="N9"/>
      <c r="O9" s="1537">
        <v>63</v>
      </c>
      <c r="P9" s="1533" t="s">
        <v>378</v>
      </c>
      <c r="Q9" s="1522"/>
      <c r="R9" s="1508"/>
      <c r="S9" s="1508"/>
      <c r="T9" s="1523"/>
      <c r="U9" s="1524">
        <v>290</v>
      </c>
      <c r="V9" s="298">
        <v>159</v>
      </c>
      <c r="W9" s="1513">
        <f>(U9-F9)/U9</f>
        <v>0.2793103448275861</v>
      </c>
      <c r="X9" s="1525">
        <f>(U9-V9)/U9</f>
        <v>0.4517241379310345</v>
      </c>
      <c r="Y9" s="1524">
        <v>445</v>
      </c>
      <c r="Z9" s="298">
        <v>226</v>
      </c>
      <c r="AA9" s="1514">
        <f t="shared" si="0"/>
        <v>0.28314606741573034</v>
      </c>
      <c r="AB9" s="1525">
        <f t="shared" si="1"/>
        <v>0.49213483146067416</v>
      </c>
      <c r="AC9" s="1524">
        <v>625</v>
      </c>
      <c r="AD9" s="298">
        <v>351</v>
      </c>
      <c r="AE9" s="1513">
        <f t="shared" si="2"/>
        <v>0.29599999999999993</v>
      </c>
      <c r="AF9" s="1525">
        <f t="shared" si="3"/>
        <v>0.43840000000000001</v>
      </c>
      <c r="AG9" s="1539"/>
    </row>
    <row r="10" spans="1:33" ht="22.5">
      <c r="A10" s="102">
        <v>7</v>
      </c>
      <c r="B10" s="103">
        <v>75</v>
      </c>
      <c r="C10" s="103" t="s">
        <v>386</v>
      </c>
      <c r="D10" s="104" t="s">
        <v>378</v>
      </c>
      <c r="E10" s="105" t="s">
        <v>379</v>
      </c>
      <c r="F10" s="101">
        <f>250*1.1</f>
        <v>275</v>
      </c>
      <c r="G10" s="101">
        <f>390*1.1</f>
        <v>429.00000000000006</v>
      </c>
      <c r="H10" s="101">
        <f>580*1.1</f>
        <v>638</v>
      </c>
      <c r="I10" s="1067"/>
      <c r="J10"/>
      <c r="K10"/>
      <c r="L10"/>
      <c r="M10"/>
      <c r="N10"/>
      <c r="O10" s="1537">
        <v>75</v>
      </c>
      <c r="P10" s="1533" t="s">
        <v>378</v>
      </c>
      <c r="Q10" s="1522"/>
      <c r="R10" s="1508"/>
      <c r="S10" s="1508"/>
      <c r="T10" s="1523"/>
      <c r="U10" s="1524">
        <v>385</v>
      </c>
      <c r="V10" s="298">
        <v>220</v>
      </c>
      <c r="W10" s="1513">
        <f t="shared" ref="W10:W17" si="4">(U10-F10)/U10</f>
        <v>0.2857142857142857</v>
      </c>
      <c r="X10" s="1525">
        <f t="shared" ref="X10:X17" si="5">(U10-V10)/U10</f>
        <v>0.42857142857142855</v>
      </c>
      <c r="Y10" s="1524">
        <v>565</v>
      </c>
      <c r="Z10" s="298">
        <v>317</v>
      </c>
      <c r="AA10" s="1514">
        <f t="shared" si="0"/>
        <v>0.2407079646017698</v>
      </c>
      <c r="AB10" s="1525">
        <f t="shared" si="1"/>
        <v>0.43893805309734513</v>
      </c>
      <c r="AC10" s="1524">
        <v>885</v>
      </c>
      <c r="AD10" s="298">
        <v>502</v>
      </c>
      <c r="AE10" s="1513">
        <f t="shared" si="2"/>
        <v>0.27909604519774012</v>
      </c>
      <c r="AF10" s="1525">
        <f t="shared" si="3"/>
        <v>0.43276836158192089</v>
      </c>
      <c r="AG10" s="1539"/>
    </row>
    <row r="11" spans="1:33" ht="22.5">
      <c r="A11" s="102">
        <v>8</v>
      </c>
      <c r="B11" s="103">
        <v>90</v>
      </c>
      <c r="C11" s="103" t="s">
        <v>387</v>
      </c>
      <c r="D11" s="104" t="s">
        <v>378</v>
      </c>
      <c r="E11" s="101">
        <f>200*1.1</f>
        <v>220.00000000000003</v>
      </c>
      <c r="F11" s="101">
        <f>325*1.1</f>
        <v>357.50000000000006</v>
      </c>
      <c r="G11" s="101">
        <f>500*1.1</f>
        <v>550</v>
      </c>
      <c r="H11" s="101">
        <f>800*1.1</f>
        <v>880.00000000000011</v>
      </c>
      <c r="I11" s="1067"/>
      <c r="J11"/>
      <c r="K11"/>
      <c r="L11"/>
      <c r="M11"/>
      <c r="N11"/>
      <c r="O11" s="1537">
        <v>90</v>
      </c>
      <c r="P11" s="1533" t="s">
        <v>378</v>
      </c>
      <c r="Q11" s="1524">
        <v>340</v>
      </c>
      <c r="R11" s="298">
        <v>201</v>
      </c>
      <c r="S11" s="1512">
        <f>(Q11-E11)/Q11</f>
        <v>0.35294117647058815</v>
      </c>
      <c r="T11" s="1525">
        <f>(Q11-R11)/Q11</f>
        <v>0.4088235294117647</v>
      </c>
      <c r="U11" s="1524">
        <v>530</v>
      </c>
      <c r="V11" s="298">
        <v>313</v>
      </c>
      <c r="W11" s="1513">
        <f t="shared" si="4"/>
        <v>0.32547169811320742</v>
      </c>
      <c r="X11" s="1525">
        <f t="shared" si="5"/>
        <v>0.40943396226415096</v>
      </c>
      <c r="Y11" s="1524">
        <v>765</v>
      </c>
      <c r="Z11" s="298">
        <v>457</v>
      </c>
      <c r="AA11" s="1514">
        <f t="shared" si="0"/>
        <v>0.28104575163398693</v>
      </c>
      <c r="AB11" s="1525">
        <f t="shared" si="1"/>
        <v>0.40261437908496733</v>
      </c>
      <c r="AC11" s="1524">
        <v>1230</v>
      </c>
      <c r="AD11" s="298">
        <v>715</v>
      </c>
      <c r="AE11" s="1513">
        <f t="shared" si="2"/>
        <v>0.28455284552845517</v>
      </c>
      <c r="AF11" s="1525">
        <f t="shared" si="3"/>
        <v>0.41869918699186992</v>
      </c>
      <c r="AG11" s="1539"/>
    </row>
    <row r="12" spans="1:33" ht="22.5">
      <c r="A12" s="102">
        <v>9</v>
      </c>
      <c r="B12" s="103">
        <v>110</v>
      </c>
      <c r="C12" s="103" t="s">
        <v>388</v>
      </c>
      <c r="D12" s="104" t="s">
        <v>378</v>
      </c>
      <c r="E12" s="101">
        <f>350*1.1</f>
        <v>385.00000000000006</v>
      </c>
      <c r="F12" s="101">
        <f>500*1.1</f>
        <v>550</v>
      </c>
      <c r="G12" s="101">
        <f>750*1.1</f>
        <v>825.00000000000011</v>
      </c>
      <c r="H12" s="101">
        <f>1300*1.1</f>
        <v>1430.0000000000002</v>
      </c>
      <c r="I12" s="1067"/>
      <c r="J12"/>
      <c r="K12"/>
      <c r="L12"/>
      <c r="M12"/>
      <c r="N12"/>
      <c r="O12" s="1537">
        <v>110</v>
      </c>
      <c r="P12" s="1533" t="s">
        <v>378</v>
      </c>
      <c r="Q12" s="1524">
        <v>550</v>
      </c>
      <c r="R12" s="298">
        <v>298</v>
      </c>
      <c r="S12" s="1512">
        <f t="shared" ref="S12:S17" si="6">(Q12-E12)/Q12</f>
        <v>0.29999999999999988</v>
      </c>
      <c r="T12" s="1525">
        <f t="shared" ref="T12:T17" si="7">(Q12-R12)/Q12</f>
        <v>0.45818181818181819</v>
      </c>
      <c r="U12" s="1524">
        <v>760</v>
      </c>
      <c r="V12" s="298">
        <v>430</v>
      </c>
      <c r="W12" s="1513">
        <f t="shared" si="4"/>
        <v>0.27631578947368424</v>
      </c>
      <c r="X12" s="1525">
        <f t="shared" si="5"/>
        <v>0.43421052631578949</v>
      </c>
      <c r="Y12" s="1524">
        <v>1160</v>
      </c>
      <c r="Z12" s="298">
        <v>660</v>
      </c>
      <c r="AA12" s="1514">
        <f t="shared" si="0"/>
        <v>0.28879310344827575</v>
      </c>
      <c r="AB12" s="1525">
        <f t="shared" si="1"/>
        <v>0.43103448275862066</v>
      </c>
      <c r="AC12" s="1524">
        <v>1960</v>
      </c>
      <c r="AD12" s="298">
        <v>1060</v>
      </c>
      <c r="AE12" s="1513">
        <f t="shared" si="2"/>
        <v>0.27040816326530603</v>
      </c>
      <c r="AF12" s="1525">
        <f t="shared" si="3"/>
        <v>0.45918367346938777</v>
      </c>
      <c r="AG12" s="1539"/>
    </row>
    <row r="13" spans="1:33" ht="22.5">
      <c r="A13" s="102">
        <v>10</v>
      </c>
      <c r="B13" s="103">
        <v>125</v>
      </c>
      <c r="C13" s="103" t="s">
        <v>389</v>
      </c>
      <c r="D13" s="104" t="s">
        <v>378</v>
      </c>
      <c r="E13" s="101">
        <f>420*1.1</f>
        <v>462.00000000000006</v>
      </c>
      <c r="F13" s="101">
        <f>650*1.1</f>
        <v>715.00000000000011</v>
      </c>
      <c r="G13" s="101">
        <f>1000*1.1</f>
        <v>1100</v>
      </c>
      <c r="H13" s="101">
        <f>1500*1.1</f>
        <v>1650.0000000000002</v>
      </c>
      <c r="I13" s="1067"/>
      <c r="J13"/>
      <c r="K13"/>
      <c r="L13"/>
      <c r="M13"/>
      <c r="N13"/>
      <c r="O13" s="1537">
        <v>125</v>
      </c>
      <c r="P13" s="1533" t="s">
        <v>378</v>
      </c>
      <c r="Q13" s="1524">
        <v>655</v>
      </c>
      <c r="R13" s="298">
        <v>380</v>
      </c>
      <c r="S13" s="1512">
        <f t="shared" si="6"/>
        <v>0.29465648854961823</v>
      </c>
      <c r="T13" s="1525">
        <f t="shared" si="7"/>
        <v>0.41984732824427479</v>
      </c>
      <c r="U13" s="1524">
        <v>1005</v>
      </c>
      <c r="V13" s="298">
        <v>593</v>
      </c>
      <c r="W13" s="1513">
        <f t="shared" si="4"/>
        <v>0.28855721393034817</v>
      </c>
      <c r="X13" s="1525">
        <f t="shared" si="5"/>
        <v>0.40995024875621888</v>
      </c>
      <c r="Y13" s="1524">
        <v>1515</v>
      </c>
      <c r="Z13" s="298">
        <v>880</v>
      </c>
      <c r="AA13" s="1514">
        <f t="shared" si="0"/>
        <v>0.27392739273927391</v>
      </c>
      <c r="AB13" s="1525">
        <f t="shared" si="1"/>
        <v>0.41914191419141916</v>
      </c>
      <c r="AC13" s="1524">
        <v>2330</v>
      </c>
      <c r="AD13" s="298">
        <v>1358</v>
      </c>
      <c r="AE13" s="1513">
        <f t="shared" si="2"/>
        <v>0.29184549356223166</v>
      </c>
      <c r="AF13" s="1525">
        <f t="shared" si="3"/>
        <v>0.41716738197424891</v>
      </c>
      <c r="AG13" s="1539"/>
    </row>
    <row r="14" spans="1:33" ht="22.5">
      <c r="A14" s="102">
        <v>11</v>
      </c>
      <c r="B14" s="103">
        <v>140</v>
      </c>
      <c r="C14" s="103" t="s">
        <v>390</v>
      </c>
      <c r="D14" s="104" t="s">
        <v>378</v>
      </c>
      <c r="E14" s="1515">
        <f>600*1.1</f>
        <v>660</v>
      </c>
      <c r="F14" s="101">
        <f>860*1.1</f>
        <v>946.00000000000011</v>
      </c>
      <c r="G14" s="101">
        <f>1225*1.1</f>
        <v>1347.5</v>
      </c>
      <c r="H14" s="101">
        <f>1900*1.1</f>
        <v>2090</v>
      </c>
      <c r="I14" s="1067"/>
      <c r="J14"/>
      <c r="K14"/>
      <c r="L14"/>
      <c r="M14"/>
      <c r="N14"/>
      <c r="O14" s="1537">
        <v>140</v>
      </c>
      <c r="P14" s="1533" t="s">
        <v>378</v>
      </c>
      <c r="Q14" s="1524">
        <v>810</v>
      </c>
      <c r="R14" s="298">
        <v>469</v>
      </c>
      <c r="S14" s="1511">
        <f t="shared" si="6"/>
        <v>0.18518518518518517</v>
      </c>
      <c r="T14" s="1525">
        <f t="shared" si="7"/>
        <v>0.42098765432098767</v>
      </c>
      <c r="U14" s="1524">
        <v>1295</v>
      </c>
      <c r="V14" s="298">
        <v>753</v>
      </c>
      <c r="W14" s="1513">
        <f t="shared" si="4"/>
        <v>0.26949806949806943</v>
      </c>
      <c r="X14" s="1525">
        <f t="shared" si="5"/>
        <v>0.41853281853281854</v>
      </c>
      <c r="Y14" s="1524">
        <v>1860</v>
      </c>
      <c r="Z14" s="298">
        <v>1095</v>
      </c>
      <c r="AA14" s="1514">
        <f t="shared" si="0"/>
        <v>0.27553763440860213</v>
      </c>
      <c r="AB14" s="1525">
        <f t="shared" si="1"/>
        <v>0.41129032258064518</v>
      </c>
      <c r="AC14" s="1524">
        <v>2925</v>
      </c>
      <c r="AD14" s="298">
        <v>1712</v>
      </c>
      <c r="AE14" s="1513">
        <f t="shared" si="2"/>
        <v>0.28547008547008546</v>
      </c>
      <c r="AF14" s="1525">
        <f t="shared" si="3"/>
        <v>0.41470085470085472</v>
      </c>
      <c r="AG14" s="1539"/>
    </row>
    <row r="15" spans="1:33" ht="22.5">
      <c r="A15" s="102">
        <v>12</v>
      </c>
      <c r="B15" s="106">
        <v>160</v>
      </c>
      <c r="C15" s="106" t="s">
        <v>391</v>
      </c>
      <c r="D15" s="107" t="s">
        <v>378</v>
      </c>
      <c r="E15" s="101">
        <f>700*1.1</f>
        <v>770.00000000000011</v>
      </c>
      <c r="F15" s="1515">
        <f>1100*1.1</f>
        <v>1210</v>
      </c>
      <c r="G15" s="101">
        <f>1700*1.1</f>
        <v>1870.0000000000002</v>
      </c>
      <c r="H15" s="101">
        <f>2700*1.1</f>
        <v>2970.0000000000005</v>
      </c>
      <c r="I15" s="1067"/>
      <c r="J15"/>
      <c r="K15"/>
      <c r="L15"/>
      <c r="M15"/>
      <c r="N15"/>
      <c r="O15" s="1537">
        <v>160</v>
      </c>
      <c r="P15" s="1533" t="s">
        <v>378</v>
      </c>
      <c r="Q15" s="1524">
        <v>1070</v>
      </c>
      <c r="R15" s="298">
        <v>613</v>
      </c>
      <c r="S15" s="1512">
        <f t="shared" si="6"/>
        <v>0.28037383177570085</v>
      </c>
      <c r="T15" s="1525">
        <f t="shared" si="7"/>
        <v>0.42710280373831777</v>
      </c>
      <c r="U15" s="1528">
        <v>1805</v>
      </c>
      <c r="V15" s="1509">
        <v>975</v>
      </c>
      <c r="W15" s="1513">
        <f t="shared" si="4"/>
        <v>0.32963988919667592</v>
      </c>
      <c r="X15" s="1525">
        <f t="shared" si="5"/>
        <v>0.45983379501385041</v>
      </c>
      <c r="Y15" s="1524">
        <v>2505</v>
      </c>
      <c r="Z15" s="298">
        <v>1403</v>
      </c>
      <c r="AA15" s="1514">
        <f t="shared" si="0"/>
        <v>0.25349301397205581</v>
      </c>
      <c r="AB15" s="1525">
        <f t="shared" si="1"/>
        <v>0.43992015968063874</v>
      </c>
      <c r="AC15" s="1524">
        <v>4150</v>
      </c>
      <c r="AD15" s="298">
        <v>2204</v>
      </c>
      <c r="AE15" s="1513">
        <f t="shared" si="2"/>
        <v>0.28433734939759026</v>
      </c>
      <c r="AF15" s="1525">
        <f t="shared" si="3"/>
        <v>0.46891566265060242</v>
      </c>
      <c r="AG15" s="1539"/>
    </row>
    <row r="16" spans="1:33" ht="22.5">
      <c r="A16" s="102">
        <v>13</v>
      </c>
      <c r="B16" s="106">
        <v>180</v>
      </c>
      <c r="C16" s="106" t="s">
        <v>392</v>
      </c>
      <c r="D16" s="107" t="s">
        <v>378</v>
      </c>
      <c r="E16" s="101">
        <f>900*1.1</f>
        <v>990.00000000000011</v>
      </c>
      <c r="F16" s="101">
        <f>1420*1.1</f>
        <v>1562.0000000000002</v>
      </c>
      <c r="G16" s="101">
        <f>2000*1.1</f>
        <v>2200</v>
      </c>
      <c r="H16" s="101">
        <f>3000*1.1</f>
        <v>3300.0000000000005</v>
      </c>
      <c r="I16" s="1067"/>
      <c r="J16"/>
      <c r="K16"/>
      <c r="L16"/>
      <c r="M16"/>
      <c r="N16"/>
      <c r="O16" s="1537">
        <v>180</v>
      </c>
      <c r="P16" s="1533" t="s">
        <v>378</v>
      </c>
      <c r="Q16" s="1524">
        <v>1350</v>
      </c>
      <c r="R16" s="298">
        <v>785</v>
      </c>
      <c r="S16" s="1512">
        <f t="shared" si="6"/>
        <v>0.26666666666666661</v>
      </c>
      <c r="T16" s="1525">
        <f t="shared" si="7"/>
        <v>0.41851851851851851</v>
      </c>
      <c r="U16" s="1524">
        <v>2150</v>
      </c>
      <c r="V16" s="298">
        <v>1253</v>
      </c>
      <c r="W16" s="1513">
        <f t="shared" si="4"/>
        <v>0.27348837209302312</v>
      </c>
      <c r="X16" s="1525">
        <f t="shared" si="5"/>
        <v>0.4172093023255814</v>
      </c>
      <c r="Y16" s="1524">
        <v>3050</v>
      </c>
      <c r="Z16" s="298">
        <v>1788</v>
      </c>
      <c r="AA16" s="1514">
        <f t="shared" si="0"/>
        <v>0.27868852459016391</v>
      </c>
      <c r="AB16" s="1525">
        <f t="shared" si="1"/>
        <v>0.41377049180327868</v>
      </c>
      <c r="AC16" s="1524">
        <v>4790</v>
      </c>
      <c r="AD16" s="298">
        <v>2809</v>
      </c>
      <c r="AE16" s="1513">
        <f t="shared" si="2"/>
        <v>0.31106471816283915</v>
      </c>
      <c r="AF16" s="1525">
        <f t="shared" si="3"/>
        <v>0.41356993736951986</v>
      </c>
      <c r="AG16" s="1539"/>
    </row>
    <row r="17" spans="1:33" ht="23.25" thickBot="1">
      <c r="A17" s="108">
        <v>14</v>
      </c>
      <c r="B17" s="109">
        <v>200</v>
      </c>
      <c r="C17" s="109" t="s">
        <v>393</v>
      </c>
      <c r="D17" s="110" t="s">
        <v>378</v>
      </c>
      <c r="E17" s="111">
        <f>1200*1.1</f>
        <v>1320</v>
      </c>
      <c r="F17" s="111">
        <f>1900*1.1</f>
        <v>2090</v>
      </c>
      <c r="G17" s="111">
        <f>2900*1.1</f>
        <v>3190.0000000000005</v>
      </c>
      <c r="H17" s="111">
        <f>5700*1.1</f>
        <v>6270.0000000000009</v>
      </c>
      <c r="I17" s="1068"/>
      <c r="J17"/>
      <c r="K17"/>
      <c r="L17"/>
      <c r="M17"/>
      <c r="N17"/>
      <c r="O17" s="1538">
        <v>200</v>
      </c>
      <c r="P17" s="1534" t="s">
        <v>378</v>
      </c>
      <c r="Q17" s="1526">
        <v>1805</v>
      </c>
      <c r="R17" s="1510">
        <v>958</v>
      </c>
      <c r="S17" s="1527">
        <f t="shared" si="6"/>
        <v>0.26869806094182824</v>
      </c>
      <c r="T17" s="1532">
        <f t="shared" si="7"/>
        <v>0.4692520775623269</v>
      </c>
      <c r="U17" s="1526">
        <v>2890</v>
      </c>
      <c r="V17" s="1510">
        <v>1519</v>
      </c>
      <c r="W17" s="1529">
        <f t="shared" si="4"/>
        <v>0.27681660899653981</v>
      </c>
      <c r="X17" s="1532">
        <f t="shared" si="5"/>
        <v>0.47439446366782007</v>
      </c>
      <c r="Y17" s="1526">
        <v>4200</v>
      </c>
      <c r="Z17" s="1510">
        <v>2191</v>
      </c>
      <c r="AA17" s="1530">
        <f t="shared" si="0"/>
        <v>0.24047619047619037</v>
      </c>
      <c r="AB17" s="1532">
        <f t="shared" si="1"/>
        <v>0.47833333333333333</v>
      </c>
      <c r="AC17" s="1526">
        <v>8850</v>
      </c>
      <c r="AD17" s="1510">
        <v>3473</v>
      </c>
      <c r="AE17" s="1529">
        <f t="shared" si="2"/>
        <v>0.29152542372881346</v>
      </c>
      <c r="AF17" s="1532">
        <f t="shared" si="3"/>
        <v>0.6075706214689266</v>
      </c>
      <c r="AG17" s="1540"/>
    </row>
    <row r="18" spans="1:33" ht="21">
      <c r="A18" s="98"/>
      <c r="B18" s="99"/>
    </row>
    <row r="19" spans="1:33" ht="21">
      <c r="A19" s="98"/>
    </row>
    <row r="20" spans="1:33" ht="21">
      <c r="A20" s="98"/>
    </row>
    <row r="21" spans="1:33" ht="21">
      <c r="A21" s="98"/>
      <c r="K21" s="112">
        <v>9847546403</v>
      </c>
    </row>
    <row r="22" spans="1:33" ht="21">
      <c r="A22" s="98"/>
    </row>
    <row r="23" spans="1:33" ht="21">
      <c r="A23" s="98"/>
    </row>
    <row r="24" spans="1:33" ht="21">
      <c r="A24" s="98"/>
    </row>
    <row r="25" spans="1:33" ht="21">
      <c r="A25" s="98"/>
    </row>
    <row r="26" spans="1:33" ht="21">
      <c r="A26" s="98"/>
    </row>
    <row r="27" spans="1:33" ht="21">
      <c r="A27" s="98"/>
    </row>
    <row r="28" spans="1:33" ht="21">
      <c r="A28" s="98"/>
    </row>
    <row r="29" spans="1:33" ht="21">
      <c r="A29" s="98"/>
    </row>
    <row r="30" spans="1:33" ht="21">
      <c r="A30" s="98"/>
    </row>
    <row r="31" spans="1:33" ht="21">
      <c r="A31" s="98"/>
    </row>
    <row r="32" spans="1:33" ht="21">
      <c r="A32" s="98"/>
    </row>
    <row r="33" spans="1:1" ht="21">
      <c r="A33" s="98"/>
    </row>
    <row r="34" spans="1:1" ht="21">
      <c r="A34" s="98"/>
    </row>
    <row r="35" spans="1:1" ht="21">
      <c r="A35" s="98"/>
    </row>
    <row r="36" spans="1:1" ht="21">
      <c r="A36" s="98"/>
    </row>
    <row r="37" spans="1:1" ht="21">
      <c r="A37" s="98"/>
    </row>
    <row r="38" spans="1:1" ht="21">
      <c r="A38" s="98"/>
    </row>
    <row r="39" spans="1:1" ht="21">
      <c r="A39" s="98"/>
    </row>
    <row r="40" spans="1:1" ht="21">
      <c r="A40" s="98"/>
    </row>
    <row r="41" spans="1:1" ht="21">
      <c r="A41" s="98"/>
    </row>
    <row r="42" spans="1:1" ht="21">
      <c r="A42" s="98"/>
    </row>
    <row r="43" spans="1:1" ht="21">
      <c r="A43" s="98"/>
    </row>
    <row r="44" spans="1:1" ht="21">
      <c r="A44" s="98"/>
    </row>
    <row r="45" spans="1:1" ht="21">
      <c r="A45" s="98"/>
    </row>
    <row r="46" spans="1:1" ht="21">
      <c r="A46" s="98"/>
    </row>
    <row r="47" spans="1:1" ht="21">
      <c r="A47" s="98"/>
    </row>
    <row r="48" spans="1:1" ht="21">
      <c r="A48" s="98"/>
    </row>
    <row r="49" spans="1:1" ht="21">
      <c r="A49" s="98"/>
    </row>
    <row r="50" spans="1:1" ht="21">
      <c r="A50" s="98"/>
    </row>
    <row r="51" spans="1:1" ht="21">
      <c r="A51" s="98"/>
    </row>
    <row r="52" spans="1:1" ht="21">
      <c r="A52" s="98"/>
    </row>
    <row r="53" spans="1:1" ht="21">
      <c r="A53" s="98"/>
    </row>
    <row r="54" spans="1:1" ht="21">
      <c r="A54" s="98"/>
    </row>
    <row r="55" spans="1:1" ht="21">
      <c r="A55" s="98"/>
    </row>
    <row r="56" spans="1:1" ht="21">
      <c r="A56" s="98"/>
    </row>
    <row r="57" spans="1:1" ht="21">
      <c r="A57" s="98"/>
    </row>
    <row r="58" spans="1:1" ht="21">
      <c r="A58" s="98"/>
    </row>
    <row r="59" spans="1:1" ht="21">
      <c r="A59" s="98"/>
    </row>
    <row r="60" spans="1:1" ht="21">
      <c r="A60" s="98"/>
    </row>
    <row r="61" spans="1:1" ht="21">
      <c r="A61" s="98"/>
    </row>
    <row r="62" spans="1:1" ht="21">
      <c r="A62" s="98"/>
    </row>
    <row r="63" spans="1:1" ht="21">
      <c r="A63" s="98"/>
    </row>
    <row r="64" spans="1:1" ht="21">
      <c r="A64" s="98"/>
    </row>
    <row r="65" spans="1:1" ht="21">
      <c r="A65" s="98"/>
    </row>
    <row r="66" spans="1:1" ht="21">
      <c r="A66" s="98"/>
    </row>
    <row r="67" spans="1:1" ht="21">
      <c r="A67" s="98"/>
    </row>
    <row r="68" spans="1:1" ht="21">
      <c r="A68" s="98"/>
    </row>
    <row r="69" spans="1:1" ht="21">
      <c r="A69" s="98"/>
    </row>
    <row r="70" spans="1:1" ht="21">
      <c r="A70" s="98"/>
    </row>
    <row r="71" spans="1:1" ht="21">
      <c r="A71" s="98"/>
    </row>
    <row r="72" spans="1:1" ht="21">
      <c r="A72" s="98"/>
    </row>
    <row r="73" spans="1:1" ht="21">
      <c r="A73" s="98"/>
    </row>
    <row r="74" spans="1:1" ht="21">
      <c r="A74" s="98"/>
    </row>
    <row r="75" spans="1:1" ht="21">
      <c r="A75" s="98"/>
    </row>
    <row r="76" spans="1:1" ht="21">
      <c r="A76" s="98"/>
    </row>
    <row r="77" spans="1:1" ht="21">
      <c r="A77" s="98"/>
    </row>
    <row r="78" spans="1:1" ht="21">
      <c r="A78" s="98"/>
    </row>
    <row r="79" spans="1:1" ht="21">
      <c r="A79" s="98"/>
    </row>
    <row r="80" spans="1:1" ht="21">
      <c r="A80" s="98"/>
    </row>
    <row r="81" spans="1:1" ht="21">
      <c r="A81" s="98"/>
    </row>
    <row r="82" spans="1:1" ht="21">
      <c r="A82" s="98"/>
    </row>
    <row r="83" spans="1:1" ht="21">
      <c r="A83" s="98"/>
    </row>
    <row r="84" spans="1:1" ht="21">
      <c r="A84" s="98"/>
    </row>
    <row r="85" spans="1:1" ht="21">
      <c r="A85" s="98"/>
    </row>
    <row r="86" spans="1:1" ht="21">
      <c r="A86" s="98"/>
    </row>
    <row r="87" spans="1:1" ht="21">
      <c r="A87" s="98"/>
    </row>
    <row r="88" spans="1:1" ht="21">
      <c r="A88" s="98"/>
    </row>
    <row r="89" spans="1:1" ht="21">
      <c r="A89" s="98"/>
    </row>
    <row r="90" spans="1:1" ht="21">
      <c r="A90" s="98"/>
    </row>
    <row r="91" spans="1:1" ht="21">
      <c r="A91" s="98"/>
    </row>
    <row r="92" spans="1:1" ht="21">
      <c r="A92" s="98"/>
    </row>
    <row r="93" spans="1:1" ht="21">
      <c r="A93" s="98"/>
    </row>
    <row r="94" spans="1:1" ht="21">
      <c r="A94" s="98"/>
    </row>
    <row r="95" spans="1:1" ht="21">
      <c r="A95" s="98"/>
    </row>
    <row r="96" spans="1:1" ht="21">
      <c r="A96" s="98"/>
    </row>
    <row r="97" spans="1:1" ht="21">
      <c r="A97" s="98"/>
    </row>
    <row r="98" spans="1:1" ht="21">
      <c r="A98" s="98"/>
    </row>
  </sheetData>
  <mergeCells count="13">
    <mergeCell ref="O1:AG1"/>
    <mergeCell ref="Q3:R3"/>
    <mergeCell ref="U3:V3"/>
    <mergeCell ref="Y3:Z3"/>
    <mergeCell ref="AC3:AD3"/>
    <mergeCell ref="P2:P3"/>
    <mergeCell ref="AG2:AG3"/>
    <mergeCell ref="A1:I1"/>
    <mergeCell ref="I2:I3"/>
    <mergeCell ref="A2:A3"/>
    <mergeCell ref="B2:C2"/>
    <mergeCell ref="D2:D3"/>
    <mergeCell ref="E2:H2"/>
  </mergeCells>
  <printOptions horizontalCentered="1"/>
  <pageMargins left="1.24" right="0.19" top="1.03" bottom="0.73" header="0.5" footer="0.56999999999999995"/>
  <pageSetup paperSize="9" scale="84"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L160"/>
  <sheetViews>
    <sheetView tabSelected="1" view="pageLayout" zoomScaleNormal="100" zoomScaleSheetLayoutView="115" workbookViewId="0">
      <selection activeCell="D24" sqref="D24"/>
    </sheetView>
  </sheetViews>
  <sheetFormatPr defaultRowHeight="19.5"/>
  <cols>
    <col min="1" max="1" width="6.7109375" style="100" customWidth="1"/>
    <col min="2" max="2" width="38.42578125" style="82" bestFit="1" customWidth="1"/>
    <col min="3" max="3" width="10.28515625" style="82" customWidth="1"/>
    <col min="4" max="5" width="17.28515625" style="82" customWidth="1"/>
    <col min="6" max="6" width="12.28515625" style="82" customWidth="1"/>
    <col min="7" max="7" width="12.42578125" style="82" hidden="1" customWidth="1"/>
    <col min="8" max="8" width="11.7109375" style="82" hidden="1" customWidth="1"/>
    <col min="9" max="9" width="12.28515625" style="82" hidden="1" customWidth="1"/>
    <col min="10" max="10" width="13.5703125" style="82" hidden="1" customWidth="1"/>
    <col min="11" max="12" width="14.5703125" style="82" customWidth="1"/>
    <col min="13" max="245" width="8.85546875" style="82"/>
    <col min="246" max="246" width="7.5703125" style="82" customWidth="1"/>
    <col min="247" max="247" width="7.28515625" style="82" customWidth="1"/>
    <col min="248" max="248" width="8.85546875" style="82"/>
    <col min="249" max="249" width="12.28515625" style="82" customWidth="1"/>
    <col min="250" max="250" width="12.7109375" style="82" customWidth="1"/>
    <col min="251" max="251" width="10.7109375" style="82" customWidth="1"/>
    <col min="252" max="253" width="11.5703125" style="82" customWidth="1"/>
    <col min="254" max="254" width="11.42578125" style="82" customWidth="1"/>
    <col min="255" max="256" width="8.85546875" style="82"/>
    <col min="257" max="257" width="11" style="82" customWidth="1"/>
    <col min="258" max="501" width="8.85546875" style="82"/>
    <col min="502" max="502" width="7.5703125" style="82" customWidth="1"/>
    <col min="503" max="503" width="7.28515625" style="82" customWidth="1"/>
    <col min="504" max="504" width="8.85546875" style="82"/>
    <col min="505" max="505" width="12.28515625" style="82" customWidth="1"/>
    <col min="506" max="506" width="12.7109375" style="82" customWidth="1"/>
    <col min="507" max="507" width="10.7109375" style="82" customWidth="1"/>
    <col min="508" max="509" width="11.5703125" style="82" customWidth="1"/>
    <col min="510" max="510" width="11.42578125" style="82" customWidth="1"/>
    <col min="511" max="512" width="8.85546875" style="82"/>
    <col min="513" max="513" width="11" style="82" customWidth="1"/>
    <col min="514" max="757" width="8.85546875" style="82"/>
    <col min="758" max="758" width="7.5703125" style="82" customWidth="1"/>
    <col min="759" max="759" width="7.28515625" style="82" customWidth="1"/>
    <col min="760" max="760" width="8.85546875" style="82"/>
    <col min="761" max="761" width="12.28515625" style="82" customWidth="1"/>
    <col min="762" max="762" width="12.7109375" style="82" customWidth="1"/>
    <col min="763" max="763" width="10.7109375" style="82" customWidth="1"/>
    <col min="764" max="765" width="11.5703125" style="82" customWidth="1"/>
    <col min="766" max="766" width="11.42578125" style="82" customWidth="1"/>
    <col min="767" max="768" width="8.85546875" style="82"/>
    <col min="769" max="769" width="11" style="82" customWidth="1"/>
    <col min="770" max="1013" width="8.85546875" style="82"/>
    <col min="1014" max="1014" width="7.5703125" style="82" customWidth="1"/>
    <col min="1015" max="1015" width="7.28515625" style="82" customWidth="1"/>
    <col min="1016" max="1016" width="8.85546875" style="82"/>
    <col min="1017" max="1017" width="12.28515625" style="82" customWidth="1"/>
    <col min="1018" max="1018" width="12.7109375" style="82" customWidth="1"/>
    <col min="1019" max="1019" width="10.7109375" style="82" customWidth="1"/>
    <col min="1020" max="1021" width="11.5703125" style="82" customWidth="1"/>
    <col min="1022" max="1022" width="11.42578125" style="82" customWidth="1"/>
    <col min="1023" max="1024" width="8.85546875" style="82"/>
    <col min="1025" max="1025" width="11" style="82" customWidth="1"/>
    <col min="1026" max="1269" width="8.85546875" style="82"/>
    <col min="1270" max="1270" width="7.5703125" style="82" customWidth="1"/>
    <col min="1271" max="1271" width="7.28515625" style="82" customWidth="1"/>
    <col min="1272" max="1272" width="8.85546875" style="82"/>
    <col min="1273" max="1273" width="12.28515625" style="82" customWidth="1"/>
    <col min="1274" max="1274" width="12.7109375" style="82" customWidth="1"/>
    <col min="1275" max="1275" width="10.7109375" style="82" customWidth="1"/>
    <col min="1276" max="1277" width="11.5703125" style="82" customWidth="1"/>
    <col min="1278" max="1278" width="11.42578125" style="82" customWidth="1"/>
    <col min="1279" max="1280" width="8.85546875" style="82"/>
    <col min="1281" max="1281" width="11" style="82" customWidth="1"/>
    <col min="1282" max="1525" width="8.85546875" style="82"/>
    <col min="1526" max="1526" width="7.5703125" style="82" customWidth="1"/>
    <col min="1527" max="1527" width="7.28515625" style="82" customWidth="1"/>
    <col min="1528" max="1528" width="8.85546875" style="82"/>
    <col min="1529" max="1529" width="12.28515625" style="82" customWidth="1"/>
    <col min="1530" max="1530" width="12.7109375" style="82" customWidth="1"/>
    <col min="1531" max="1531" width="10.7109375" style="82" customWidth="1"/>
    <col min="1532" max="1533" width="11.5703125" style="82" customWidth="1"/>
    <col min="1534" max="1534" width="11.42578125" style="82" customWidth="1"/>
    <col min="1535" max="1536" width="8.85546875" style="82"/>
    <col min="1537" max="1537" width="11" style="82" customWidth="1"/>
    <col min="1538" max="1781" width="8.85546875" style="82"/>
    <col min="1782" max="1782" width="7.5703125" style="82" customWidth="1"/>
    <col min="1783" max="1783" width="7.28515625" style="82" customWidth="1"/>
    <col min="1784" max="1784" width="8.85546875" style="82"/>
    <col min="1785" max="1785" width="12.28515625" style="82" customWidth="1"/>
    <col min="1786" max="1786" width="12.7109375" style="82" customWidth="1"/>
    <col min="1787" max="1787" width="10.7109375" style="82" customWidth="1"/>
    <col min="1788" max="1789" width="11.5703125" style="82" customWidth="1"/>
    <col min="1790" max="1790" width="11.42578125" style="82" customWidth="1"/>
    <col min="1791" max="1792" width="8.85546875" style="82"/>
    <col min="1793" max="1793" width="11" style="82" customWidth="1"/>
    <col min="1794" max="2037" width="8.85546875" style="82"/>
    <col min="2038" max="2038" width="7.5703125" style="82" customWidth="1"/>
    <col min="2039" max="2039" width="7.28515625" style="82" customWidth="1"/>
    <col min="2040" max="2040" width="8.85546875" style="82"/>
    <col min="2041" max="2041" width="12.28515625" style="82" customWidth="1"/>
    <col min="2042" max="2042" width="12.7109375" style="82" customWidth="1"/>
    <col min="2043" max="2043" width="10.7109375" style="82" customWidth="1"/>
    <col min="2044" max="2045" width="11.5703125" style="82" customWidth="1"/>
    <col min="2046" max="2046" width="11.42578125" style="82" customWidth="1"/>
    <col min="2047" max="2048" width="8.85546875" style="82"/>
    <col min="2049" max="2049" width="11" style="82" customWidth="1"/>
    <col min="2050" max="2293" width="8.85546875" style="82"/>
    <col min="2294" max="2294" width="7.5703125" style="82" customWidth="1"/>
    <col min="2295" max="2295" width="7.28515625" style="82" customWidth="1"/>
    <col min="2296" max="2296" width="8.85546875" style="82"/>
    <col min="2297" max="2297" width="12.28515625" style="82" customWidth="1"/>
    <col min="2298" max="2298" width="12.7109375" style="82" customWidth="1"/>
    <col min="2299" max="2299" width="10.7109375" style="82" customWidth="1"/>
    <col min="2300" max="2301" width="11.5703125" style="82" customWidth="1"/>
    <col min="2302" max="2302" width="11.42578125" style="82" customWidth="1"/>
    <col min="2303" max="2304" width="8.85546875" style="82"/>
    <col min="2305" max="2305" width="11" style="82" customWidth="1"/>
    <col min="2306" max="2549" width="8.85546875" style="82"/>
    <col min="2550" max="2550" width="7.5703125" style="82" customWidth="1"/>
    <col min="2551" max="2551" width="7.28515625" style="82" customWidth="1"/>
    <col min="2552" max="2552" width="8.85546875" style="82"/>
    <col min="2553" max="2553" width="12.28515625" style="82" customWidth="1"/>
    <col min="2554" max="2554" width="12.7109375" style="82" customWidth="1"/>
    <col min="2555" max="2555" width="10.7109375" style="82" customWidth="1"/>
    <col min="2556" max="2557" width="11.5703125" style="82" customWidth="1"/>
    <col min="2558" max="2558" width="11.42578125" style="82" customWidth="1"/>
    <col min="2559" max="2560" width="8.85546875" style="82"/>
    <col min="2561" max="2561" width="11" style="82" customWidth="1"/>
    <col min="2562" max="2805" width="8.85546875" style="82"/>
    <col min="2806" max="2806" width="7.5703125" style="82" customWidth="1"/>
    <col min="2807" max="2807" width="7.28515625" style="82" customWidth="1"/>
    <col min="2808" max="2808" width="8.85546875" style="82"/>
    <col min="2809" max="2809" width="12.28515625" style="82" customWidth="1"/>
    <col min="2810" max="2810" width="12.7109375" style="82" customWidth="1"/>
    <col min="2811" max="2811" width="10.7109375" style="82" customWidth="1"/>
    <col min="2812" max="2813" width="11.5703125" style="82" customWidth="1"/>
    <col min="2814" max="2814" width="11.42578125" style="82" customWidth="1"/>
    <col min="2815" max="2816" width="8.85546875" style="82"/>
    <col min="2817" max="2817" width="11" style="82" customWidth="1"/>
    <col min="2818" max="3061" width="8.85546875" style="82"/>
    <col min="3062" max="3062" width="7.5703125" style="82" customWidth="1"/>
    <col min="3063" max="3063" width="7.28515625" style="82" customWidth="1"/>
    <col min="3064" max="3064" width="8.85546875" style="82"/>
    <col min="3065" max="3065" width="12.28515625" style="82" customWidth="1"/>
    <col min="3066" max="3066" width="12.7109375" style="82" customWidth="1"/>
    <col min="3067" max="3067" width="10.7109375" style="82" customWidth="1"/>
    <col min="3068" max="3069" width="11.5703125" style="82" customWidth="1"/>
    <col min="3070" max="3070" width="11.42578125" style="82" customWidth="1"/>
    <col min="3071" max="3072" width="8.85546875" style="82"/>
    <col min="3073" max="3073" width="11" style="82" customWidth="1"/>
    <col min="3074" max="3317" width="8.85546875" style="82"/>
    <col min="3318" max="3318" width="7.5703125" style="82" customWidth="1"/>
    <col min="3319" max="3319" width="7.28515625" style="82" customWidth="1"/>
    <col min="3320" max="3320" width="8.85546875" style="82"/>
    <col min="3321" max="3321" width="12.28515625" style="82" customWidth="1"/>
    <col min="3322" max="3322" width="12.7109375" style="82" customWidth="1"/>
    <col min="3323" max="3323" width="10.7109375" style="82" customWidth="1"/>
    <col min="3324" max="3325" width="11.5703125" style="82" customWidth="1"/>
    <col min="3326" max="3326" width="11.42578125" style="82" customWidth="1"/>
    <col min="3327" max="3328" width="8.85546875" style="82"/>
    <col min="3329" max="3329" width="11" style="82" customWidth="1"/>
    <col min="3330" max="3573" width="8.85546875" style="82"/>
    <col min="3574" max="3574" width="7.5703125" style="82" customWidth="1"/>
    <col min="3575" max="3575" width="7.28515625" style="82" customWidth="1"/>
    <col min="3576" max="3576" width="8.85546875" style="82"/>
    <col min="3577" max="3577" width="12.28515625" style="82" customWidth="1"/>
    <col min="3578" max="3578" width="12.7109375" style="82" customWidth="1"/>
    <col min="3579" max="3579" width="10.7109375" style="82" customWidth="1"/>
    <col min="3580" max="3581" width="11.5703125" style="82" customWidth="1"/>
    <col min="3582" max="3582" width="11.42578125" style="82" customWidth="1"/>
    <col min="3583" max="3584" width="8.85546875" style="82"/>
    <col min="3585" max="3585" width="11" style="82" customWidth="1"/>
    <col min="3586" max="3829" width="8.85546875" style="82"/>
    <col min="3830" max="3830" width="7.5703125" style="82" customWidth="1"/>
    <col min="3831" max="3831" width="7.28515625" style="82" customWidth="1"/>
    <col min="3832" max="3832" width="8.85546875" style="82"/>
    <col min="3833" max="3833" width="12.28515625" style="82" customWidth="1"/>
    <col min="3834" max="3834" width="12.7109375" style="82" customWidth="1"/>
    <col min="3835" max="3835" width="10.7109375" style="82" customWidth="1"/>
    <col min="3836" max="3837" width="11.5703125" style="82" customWidth="1"/>
    <col min="3838" max="3838" width="11.42578125" style="82" customWidth="1"/>
    <col min="3839" max="3840" width="8.85546875" style="82"/>
    <col min="3841" max="3841" width="11" style="82" customWidth="1"/>
    <col min="3842" max="4085" width="8.85546875" style="82"/>
    <col min="4086" max="4086" width="7.5703125" style="82" customWidth="1"/>
    <col min="4087" max="4087" width="7.28515625" style="82" customWidth="1"/>
    <col min="4088" max="4088" width="8.85546875" style="82"/>
    <col min="4089" max="4089" width="12.28515625" style="82" customWidth="1"/>
    <col min="4090" max="4090" width="12.7109375" style="82" customWidth="1"/>
    <col min="4091" max="4091" width="10.7109375" style="82" customWidth="1"/>
    <col min="4092" max="4093" width="11.5703125" style="82" customWidth="1"/>
    <col min="4094" max="4094" width="11.42578125" style="82" customWidth="1"/>
    <col min="4095" max="4096" width="8.85546875" style="82"/>
    <col min="4097" max="4097" width="11" style="82" customWidth="1"/>
    <col min="4098" max="4341" width="8.85546875" style="82"/>
    <col min="4342" max="4342" width="7.5703125" style="82" customWidth="1"/>
    <col min="4343" max="4343" width="7.28515625" style="82" customWidth="1"/>
    <col min="4344" max="4344" width="8.85546875" style="82"/>
    <col min="4345" max="4345" width="12.28515625" style="82" customWidth="1"/>
    <col min="4346" max="4346" width="12.7109375" style="82" customWidth="1"/>
    <col min="4347" max="4347" width="10.7109375" style="82" customWidth="1"/>
    <col min="4348" max="4349" width="11.5703125" style="82" customWidth="1"/>
    <col min="4350" max="4350" width="11.42578125" style="82" customWidth="1"/>
    <col min="4351" max="4352" width="8.85546875" style="82"/>
    <col min="4353" max="4353" width="11" style="82" customWidth="1"/>
    <col min="4354" max="4597" width="8.85546875" style="82"/>
    <col min="4598" max="4598" width="7.5703125" style="82" customWidth="1"/>
    <col min="4599" max="4599" width="7.28515625" style="82" customWidth="1"/>
    <col min="4600" max="4600" width="8.85546875" style="82"/>
    <col min="4601" max="4601" width="12.28515625" style="82" customWidth="1"/>
    <col min="4602" max="4602" width="12.7109375" style="82" customWidth="1"/>
    <col min="4603" max="4603" width="10.7109375" style="82" customWidth="1"/>
    <col min="4604" max="4605" width="11.5703125" style="82" customWidth="1"/>
    <col min="4606" max="4606" width="11.42578125" style="82" customWidth="1"/>
    <col min="4607" max="4608" width="8.85546875" style="82"/>
    <col min="4609" max="4609" width="11" style="82" customWidth="1"/>
    <col min="4610" max="4853" width="8.85546875" style="82"/>
    <col min="4854" max="4854" width="7.5703125" style="82" customWidth="1"/>
    <col min="4855" max="4855" width="7.28515625" style="82" customWidth="1"/>
    <col min="4856" max="4856" width="8.85546875" style="82"/>
    <col min="4857" max="4857" width="12.28515625" style="82" customWidth="1"/>
    <col min="4858" max="4858" width="12.7109375" style="82" customWidth="1"/>
    <col min="4859" max="4859" width="10.7109375" style="82" customWidth="1"/>
    <col min="4860" max="4861" width="11.5703125" style="82" customWidth="1"/>
    <col min="4862" max="4862" width="11.42578125" style="82" customWidth="1"/>
    <col min="4863" max="4864" width="8.85546875" style="82"/>
    <col min="4865" max="4865" width="11" style="82" customWidth="1"/>
    <col min="4866" max="5109" width="8.85546875" style="82"/>
    <col min="5110" max="5110" width="7.5703125" style="82" customWidth="1"/>
    <col min="5111" max="5111" width="7.28515625" style="82" customWidth="1"/>
    <col min="5112" max="5112" width="8.85546875" style="82"/>
    <col min="5113" max="5113" width="12.28515625" style="82" customWidth="1"/>
    <col min="5114" max="5114" width="12.7109375" style="82" customWidth="1"/>
    <col min="5115" max="5115" width="10.7109375" style="82" customWidth="1"/>
    <col min="5116" max="5117" width="11.5703125" style="82" customWidth="1"/>
    <col min="5118" max="5118" width="11.42578125" style="82" customWidth="1"/>
    <col min="5119" max="5120" width="8.85546875" style="82"/>
    <col min="5121" max="5121" width="11" style="82" customWidth="1"/>
    <col min="5122" max="5365" width="8.85546875" style="82"/>
    <col min="5366" max="5366" width="7.5703125" style="82" customWidth="1"/>
    <col min="5367" max="5367" width="7.28515625" style="82" customWidth="1"/>
    <col min="5368" max="5368" width="8.85546875" style="82"/>
    <col min="5369" max="5369" width="12.28515625" style="82" customWidth="1"/>
    <col min="5370" max="5370" width="12.7109375" style="82" customWidth="1"/>
    <col min="5371" max="5371" width="10.7109375" style="82" customWidth="1"/>
    <col min="5372" max="5373" width="11.5703125" style="82" customWidth="1"/>
    <col min="5374" max="5374" width="11.42578125" style="82" customWidth="1"/>
    <col min="5375" max="5376" width="8.85546875" style="82"/>
    <col min="5377" max="5377" width="11" style="82" customWidth="1"/>
    <col min="5378" max="5621" width="8.85546875" style="82"/>
    <col min="5622" max="5622" width="7.5703125" style="82" customWidth="1"/>
    <col min="5623" max="5623" width="7.28515625" style="82" customWidth="1"/>
    <col min="5624" max="5624" width="8.85546875" style="82"/>
    <col min="5625" max="5625" width="12.28515625" style="82" customWidth="1"/>
    <col min="5626" max="5626" width="12.7109375" style="82" customWidth="1"/>
    <col min="5627" max="5627" width="10.7109375" style="82" customWidth="1"/>
    <col min="5628" max="5629" width="11.5703125" style="82" customWidth="1"/>
    <col min="5630" max="5630" width="11.42578125" style="82" customWidth="1"/>
    <col min="5631" max="5632" width="8.85546875" style="82"/>
    <col min="5633" max="5633" width="11" style="82" customWidth="1"/>
    <col min="5634" max="5877" width="8.85546875" style="82"/>
    <col min="5878" max="5878" width="7.5703125" style="82" customWidth="1"/>
    <col min="5879" max="5879" width="7.28515625" style="82" customWidth="1"/>
    <col min="5880" max="5880" width="8.85546875" style="82"/>
    <col min="5881" max="5881" width="12.28515625" style="82" customWidth="1"/>
    <col min="5882" max="5882" width="12.7109375" style="82" customWidth="1"/>
    <col min="5883" max="5883" width="10.7109375" style="82" customWidth="1"/>
    <col min="5884" max="5885" width="11.5703125" style="82" customWidth="1"/>
    <col min="5886" max="5886" width="11.42578125" style="82" customWidth="1"/>
    <col min="5887" max="5888" width="8.85546875" style="82"/>
    <col min="5889" max="5889" width="11" style="82" customWidth="1"/>
    <col min="5890" max="6133" width="8.85546875" style="82"/>
    <col min="6134" max="6134" width="7.5703125" style="82" customWidth="1"/>
    <col min="6135" max="6135" width="7.28515625" style="82" customWidth="1"/>
    <col min="6136" max="6136" width="8.85546875" style="82"/>
    <col min="6137" max="6137" width="12.28515625" style="82" customWidth="1"/>
    <col min="6138" max="6138" width="12.7109375" style="82" customWidth="1"/>
    <col min="6139" max="6139" width="10.7109375" style="82" customWidth="1"/>
    <col min="6140" max="6141" width="11.5703125" style="82" customWidth="1"/>
    <col min="6142" max="6142" width="11.42578125" style="82" customWidth="1"/>
    <col min="6143" max="6144" width="8.85546875" style="82"/>
    <col min="6145" max="6145" width="11" style="82" customWidth="1"/>
    <col min="6146" max="6389" width="8.85546875" style="82"/>
    <col min="6390" max="6390" width="7.5703125" style="82" customWidth="1"/>
    <col min="6391" max="6391" width="7.28515625" style="82" customWidth="1"/>
    <col min="6392" max="6392" width="8.85546875" style="82"/>
    <col min="6393" max="6393" width="12.28515625" style="82" customWidth="1"/>
    <col min="6394" max="6394" width="12.7109375" style="82" customWidth="1"/>
    <col min="6395" max="6395" width="10.7109375" style="82" customWidth="1"/>
    <col min="6396" max="6397" width="11.5703125" style="82" customWidth="1"/>
    <col min="6398" max="6398" width="11.42578125" style="82" customWidth="1"/>
    <col min="6399" max="6400" width="8.85546875" style="82"/>
    <col min="6401" max="6401" width="11" style="82" customWidth="1"/>
    <col min="6402" max="6645" width="8.85546875" style="82"/>
    <col min="6646" max="6646" width="7.5703125" style="82" customWidth="1"/>
    <col min="6647" max="6647" width="7.28515625" style="82" customWidth="1"/>
    <col min="6648" max="6648" width="8.85546875" style="82"/>
    <col min="6649" max="6649" width="12.28515625" style="82" customWidth="1"/>
    <col min="6650" max="6650" width="12.7109375" style="82" customWidth="1"/>
    <col min="6651" max="6651" width="10.7109375" style="82" customWidth="1"/>
    <col min="6652" max="6653" width="11.5703125" style="82" customWidth="1"/>
    <col min="6654" max="6654" width="11.42578125" style="82" customWidth="1"/>
    <col min="6655" max="6656" width="8.85546875" style="82"/>
    <col min="6657" max="6657" width="11" style="82" customWidth="1"/>
    <col min="6658" max="6901" width="8.85546875" style="82"/>
    <col min="6902" max="6902" width="7.5703125" style="82" customWidth="1"/>
    <col min="6903" max="6903" width="7.28515625" style="82" customWidth="1"/>
    <col min="6904" max="6904" width="8.85546875" style="82"/>
    <col min="6905" max="6905" width="12.28515625" style="82" customWidth="1"/>
    <col min="6906" max="6906" width="12.7109375" style="82" customWidth="1"/>
    <col min="6907" max="6907" width="10.7109375" style="82" customWidth="1"/>
    <col min="6908" max="6909" width="11.5703125" style="82" customWidth="1"/>
    <col min="6910" max="6910" width="11.42578125" style="82" customWidth="1"/>
    <col min="6911" max="6912" width="8.85546875" style="82"/>
    <col min="6913" max="6913" width="11" style="82" customWidth="1"/>
    <col min="6914" max="7157" width="8.85546875" style="82"/>
    <col min="7158" max="7158" width="7.5703125" style="82" customWidth="1"/>
    <col min="7159" max="7159" width="7.28515625" style="82" customWidth="1"/>
    <col min="7160" max="7160" width="8.85546875" style="82"/>
    <col min="7161" max="7161" width="12.28515625" style="82" customWidth="1"/>
    <col min="7162" max="7162" width="12.7109375" style="82" customWidth="1"/>
    <col min="7163" max="7163" width="10.7109375" style="82" customWidth="1"/>
    <col min="7164" max="7165" width="11.5703125" style="82" customWidth="1"/>
    <col min="7166" max="7166" width="11.42578125" style="82" customWidth="1"/>
    <col min="7167" max="7168" width="8.85546875" style="82"/>
    <col min="7169" max="7169" width="11" style="82" customWidth="1"/>
    <col min="7170" max="7413" width="8.85546875" style="82"/>
    <col min="7414" max="7414" width="7.5703125" style="82" customWidth="1"/>
    <col min="7415" max="7415" width="7.28515625" style="82" customWidth="1"/>
    <col min="7416" max="7416" width="8.85546875" style="82"/>
    <col min="7417" max="7417" width="12.28515625" style="82" customWidth="1"/>
    <col min="7418" max="7418" width="12.7109375" style="82" customWidth="1"/>
    <col min="7419" max="7419" width="10.7109375" style="82" customWidth="1"/>
    <col min="7420" max="7421" width="11.5703125" style="82" customWidth="1"/>
    <col min="7422" max="7422" width="11.42578125" style="82" customWidth="1"/>
    <col min="7423" max="7424" width="8.85546875" style="82"/>
    <col min="7425" max="7425" width="11" style="82" customWidth="1"/>
    <col min="7426" max="7669" width="8.85546875" style="82"/>
    <col min="7670" max="7670" width="7.5703125" style="82" customWidth="1"/>
    <col min="7671" max="7671" width="7.28515625" style="82" customWidth="1"/>
    <col min="7672" max="7672" width="8.85546875" style="82"/>
    <col min="7673" max="7673" width="12.28515625" style="82" customWidth="1"/>
    <col min="7674" max="7674" width="12.7109375" style="82" customWidth="1"/>
    <col min="7675" max="7675" width="10.7109375" style="82" customWidth="1"/>
    <col min="7676" max="7677" width="11.5703125" style="82" customWidth="1"/>
    <col min="7678" max="7678" width="11.42578125" style="82" customWidth="1"/>
    <col min="7679" max="7680" width="8.85546875" style="82"/>
    <col min="7681" max="7681" width="11" style="82" customWidth="1"/>
    <col min="7682" max="7925" width="8.85546875" style="82"/>
    <col min="7926" max="7926" width="7.5703125" style="82" customWidth="1"/>
    <col min="7927" max="7927" width="7.28515625" style="82" customWidth="1"/>
    <col min="7928" max="7928" width="8.85546875" style="82"/>
    <col min="7929" max="7929" width="12.28515625" style="82" customWidth="1"/>
    <col min="7930" max="7930" width="12.7109375" style="82" customWidth="1"/>
    <col min="7931" max="7931" width="10.7109375" style="82" customWidth="1"/>
    <col min="7932" max="7933" width="11.5703125" style="82" customWidth="1"/>
    <col min="7934" max="7934" width="11.42578125" style="82" customWidth="1"/>
    <col min="7935" max="7936" width="8.85546875" style="82"/>
    <col min="7937" max="7937" width="11" style="82" customWidth="1"/>
    <col min="7938" max="8181" width="8.85546875" style="82"/>
    <col min="8182" max="8182" width="7.5703125" style="82" customWidth="1"/>
    <col min="8183" max="8183" width="7.28515625" style="82" customWidth="1"/>
    <col min="8184" max="8184" width="8.85546875" style="82"/>
    <col min="8185" max="8185" width="12.28515625" style="82" customWidth="1"/>
    <col min="8186" max="8186" width="12.7109375" style="82" customWidth="1"/>
    <col min="8187" max="8187" width="10.7109375" style="82" customWidth="1"/>
    <col min="8188" max="8189" width="11.5703125" style="82" customWidth="1"/>
    <col min="8190" max="8190" width="11.42578125" style="82" customWidth="1"/>
    <col min="8191" max="8192" width="8.85546875" style="82"/>
    <col min="8193" max="8193" width="11" style="82" customWidth="1"/>
    <col min="8194" max="8437" width="8.85546875" style="82"/>
    <col min="8438" max="8438" width="7.5703125" style="82" customWidth="1"/>
    <col min="8439" max="8439" width="7.28515625" style="82" customWidth="1"/>
    <col min="8440" max="8440" width="8.85546875" style="82"/>
    <col min="8441" max="8441" width="12.28515625" style="82" customWidth="1"/>
    <col min="8442" max="8442" width="12.7109375" style="82" customWidth="1"/>
    <col min="8443" max="8443" width="10.7109375" style="82" customWidth="1"/>
    <col min="8444" max="8445" width="11.5703125" style="82" customWidth="1"/>
    <col min="8446" max="8446" width="11.42578125" style="82" customWidth="1"/>
    <col min="8447" max="8448" width="8.85546875" style="82"/>
    <col min="8449" max="8449" width="11" style="82" customWidth="1"/>
    <col min="8450" max="8693" width="8.85546875" style="82"/>
    <col min="8694" max="8694" width="7.5703125" style="82" customWidth="1"/>
    <col min="8695" max="8695" width="7.28515625" style="82" customWidth="1"/>
    <col min="8696" max="8696" width="8.85546875" style="82"/>
    <col min="8697" max="8697" width="12.28515625" style="82" customWidth="1"/>
    <col min="8698" max="8698" width="12.7109375" style="82" customWidth="1"/>
    <col min="8699" max="8699" width="10.7109375" style="82" customWidth="1"/>
    <col min="8700" max="8701" width="11.5703125" style="82" customWidth="1"/>
    <col min="8702" max="8702" width="11.42578125" style="82" customWidth="1"/>
    <col min="8703" max="8704" width="8.85546875" style="82"/>
    <col min="8705" max="8705" width="11" style="82" customWidth="1"/>
    <col min="8706" max="8949" width="8.85546875" style="82"/>
    <col min="8950" max="8950" width="7.5703125" style="82" customWidth="1"/>
    <col min="8951" max="8951" width="7.28515625" style="82" customWidth="1"/>
    <col min="8952" max="8952" width="8.85546875" style="82"/>
    <col min="8953" max="8953" width="12.28515625" style="82" customWidth="1"/>
    <col min="8954" max="8954" width="12.7109375" style="82" customWidth="1"/>
    <col min="8955" max="8955" width="10.7109375" style="82" customWidth="1"/>
    <col min="8956" max="8957" width="11.5703125" style="82" customWidth="1"/>
    <col min="8958" max="8958" width="11.42578125" style="82" customWidth="1"/>
    <col min="8959" max="8960" width="8.85546875" style="82"/>
    <col min="8961" max="8961" width="11" style="82" customWidth="1"/>
    <col min="8962" max="9205" width="8.85546875" style="82"/>
    <col min="9206" max="9206" width="7.5703125" style="82" customWidth="1"/>
    <col min="9207" max="9207" width="7.28515625" style="82" customWidth="1"/>
    <col min="9208" max="9208" width="8.85546875" style="82"/>
    <col min="9209" max="9209" width="12.28515625" style="82" customWidth="1"/>
    <col min="9210" max="9210" width="12.7109375" style="82" customWidth="1"/>
    <col min="9211" max="9211" width="10.7109375" style="82" customWidth="1"/>
    <col min="9212" max="9213" width="11.5703125" style="82" customWidth="1"/>
    <col min="9214" max="9214" width="11.42578125" style="82" customWidth="1"/>
    <col min="9215" max="9216" width="8.85546875" style="82"/>
    <col min="9217" max="9217" width="11" style="82" customWidth="1"/>
    <col min="9218" max="9461" width="8.85546875" style="82"/>
    <col min="9462" max="9462" width="7.5703125" style="82" customWidth="1"/>
    <col min="9463" max="9463" width="7.28515625" style="82" customWidth="1"/>
    <col min="9464" max="9464" width="8.85546875" style="82"/>
    <col min="9465" max="9465" width="12.28515625" style="82" customWidth="1"/>
    <col min="9466" max="9466" width="12.7109375" style="82" customWidth="1"/>
    <col min="9467" max="9467" width="10.7109375" style="82" customWidth="1"/>
    <col min="9468" max="9469" width="11.5703125" style="82" customWidth="1"/>
    <col min="9470" max="9470" width="11.42578125" style="82" customWidth="1"/>
    <col min="9471" max="9472" width="8.85546875" style="82"/>
    <col min="9473" max="9473" width="11" style="82" customWidth="1"/>
    <col min="9474" max="9717" width="8.85546875" style="82"/>
    <col min="9718" max="9718" width="7.5703125" style="82" customWidth="1"/>
    <col min="9719" max="9719" width="7.28515625" style="82" customWidth="1"/>
    <col min="9720" max="9720" width="8.85546875" style="82"/>
    <col min="9721" max="9721" width="12.28515625" style="82" customWidth="1"/>
    <col min="9722" max="9722" width="12.7109375" style="82" customWidth="1"/>
    <col min="9723" max="9723" width="10.7109375" style="82" customWidth="1"/>
    <col min="9724" max="9725" width="11.5703125" style="82" customWidth="1"/>
    <col min="9726" max="9726" width="11.42578125" style="82" customWidth="1"/>
    <col min="9727" max="9728" width="8.85546875" style="82"/>
    <col min="9729" max="9729" width="11" style="82" customWidth="1"/>
    <col min="9730" max="9973" width="8.85546875" style="82"/>
    <col min="9974" max="9974" width="7.5703125" style="82" customWidth="1"/>
    <col min="9975" max="9975" width="7.28515625" style="82" customWidth="1"/>
    <col min="9976" max="9976" width="8.85546875" style="82"/>
    <col min="9977" max="9977" width="12.28515625" style="82" customWidth="1"/>
    <col min="9978" max="9978" width="12.7109375" style="82" customWidth="1"/>
    <col min="9979" max="9979" width="10.7109375" style="82" customWidth="1"/>
    <col min="9980" max="9981" width="11.5703125" style="82" customWidth="1"/>
    <col min="9982" max="9982" width="11.42578125" style="82" customWidth="1"/>
    <col min="9983" max="9984" width="8.85546875" style="82"/>
    <col min="9985" max="9985" width="11" style="82" customWidth="1"/>
    <col min="9986" max="10229" width="8.85546875" style="82"/>
    <col min="10230" max="10230" width="7.5703125" style="82" customWidth="1"/>
    <col min="10231" max="10231" width="7.28515625" style="82" customWidth="1"/>
    <col min="10232" max="10232" width="8.85546875" style="82"/>
    <col min="10233" max="10233" width="12.28515625" style="82" customWidth="1"/>
    <col min="10234" max="10234" width="12.7109375" style="82" customWidth="1"/>
    <col min="10235" max="10235" width="10.7109375" style="82" customWidth="1"/>
    <col min="10236" max="10237" width="11.5703125" style="82" customWidth="1"/>
    <col min="10238" max="10238" width="11.42578125" style="82" customWidth="1"/>
    <col min="10239" max="10240" width="8.85546875" style="82"/>
    <col min="10241" max="10241" width="11" style="82" customWidth="1"/>
    <col min="10242" max="10485" width="8.85546875" style="82"/>
    <col min="10486" max="10486" width="7.5703125" style="82" customWidth="1"/>
    <col min="10487" max="10487" width="7.28515625" style="82" customWidth="1"/>
    <col min="10488" max="10488" width="8.85546875" style="82"/>
    <col min="10489" max="10489" width="12.28515625" style="82" customWidth="1"/>
    <col min="10490" max="10490" width="12.7109375" style="82" customWidth="1"/>
    <col min="10491" max="10491" width="10.7109375" style="82" customWidth="1"/>
    <col min="10492" max="10493" width="11.5703125" style="82" customWidth="1"/>
    <col min="10494" max="10494" width="11.42578125" style="82" customWidth="1"/>
    <col min="10495" max="10496" width="8.85546875" style="82"/>
    <col min="10497" max="10497" width="11" style="82" customWidth="1"/>
    <col min="10498" max="10741" width="8.85546875" style="82"/>
    <col min="10742" max="10742" width="7.5703125" style="82" customWidth="1"/>
    <col min="10743" max="10743" width="7.28515625" style="82" customWidth="1"/>
    <col min="10744" max="10744" width="8.85546875" style="82"/>
    <col min="10745" max="10745" width="12.28515625" style="82" customWidth="1"/>
    <col min="10746" max="10746" width="12.7109375" style="82" customWidth="1"/>
    <col min="10747" max="10747" width="10.7109375" style="82" customWidth="1"/>
    <col min="10748" max="10749" width="11.5703125" style="82" customWidth="1"/>
    <col min="10750" max="10750" width="11.42578125" style="82" customWidth="1"/>
    <col min="10751" max="10752" width="8.85546875" style="82"/>
    <col min="10753" max="10753" width="11" style="82" customWidth="1"/>
    <col min="10754" max="10997" width="8.85546875" style="82"/>
    <col min="10998" max="10998" width="7.5703125" style="82" customWidth="1"/>
    <col min="10999" max="10999" width="7.28515625" style="82" customWidth="1"/>
    <col min="11000" max="11000" width="8.85546875" style="82"/>
    <col min="11001" max="11001" width="12.28515625" style="82" customWidth="1"/>
    <col min="11002" max="11002" width="12.7109375" style="82" customWidth="1"/>
    <col min="11003" max="11003" width="10.7109375" style="82" customWidth="1"/>
    <col min="11004" max="11005" width="11.5703125" style="82" customWidth="1"/>
    <col min="11006" max="11006" width="11.42578125" style="82" customWidth="1"/>
    <col min="11007" max="11008" width="8.85546875" style="82"/>
    <col min="11009" max="11009" width="11" style="82" customWidth="1"/>
    <col min="11010" max="11253" width="8.85546875" style="82"/>
    <col min="11254" max="11254" width="7.5703125" style="82" customWidth="1"/>
    <col min="11255" max="11255" width="7.28515625" style="82" customWidth="1"/>
    <col min="11256" max="11256" width="8.85546875" style="82"/>
    <col min="11257" max="11257" width="12.28515625" style="82" customWidth="1"/>
    <col min="11258" max="11258" width="12.7109375" style="82" customWidth="1"/>
    <col min="11259" max="11259" width="10.7109375" style="82" customWidth="1"/>
    <col min="11260" max="11261" width="11.5703125" style="82" customWidth="1"/>
    <col min="11262" max="11262" width="11.42578125" style="82" customWidth="1"/>
    <col min="11263" max="11264" width="8.85546875" style="82"/>
    <col min="11265" max="11265" width="11" style="82" customWidth="1"/>
    <col min="11266" max="11509" width="8.85546875" style="82"/>
    <col min="11510" max="11510" width="7.5703125" style="82" customWidth="1"/>
    <col min="11511" max="11511" width="7.28515625" style="82" customWidth="1"/>
    <col min="11512" max="11512" width="8.85546875" style="82"/>
    <col min="11513" max="11513" width="12.28515625" style="82" customWidth="1"/>
    <col min="11514" max="11514" width="12.7109375" style="82" customWidth="1"/>
    <col min="11515" max="11515" width="10.7109375" style="82" customWidth="1"/>
    <col min="11516" max="11517" width="11.5703125" style="82" customWidth="1"/>
    <col min="11518" max="11518" width="11.42578125" style="82" customWidth="1"/>
    <col min="11519" max="11520" width="8.85546875" style="82"/>
    <col min="11521" max="11521" width="11" style="82" customWidth="1"/>
    <col min="11522" max="11765" width="8.85546875" style="82"/>
    <col min="11766" max="11766" width="7.5703125" style="82" customWidth="1"/>
    <col min="11767" max="11767" width="7.28515625" style="82" customWidth="1"/>
    <col min="11768" max="11768" width="8.85546875" style="82"/>
    <col min="11769" max="11769" width="12.28515625" style="82" customWidth="1"/>
    <col min="11770" max="11770" width="12.7109375" style="82" customWidth="1"/>
    <col min="11771" max="11771" width="10.7109375" style="82" customWidth="1"/>
    <col min="11772" max="11773" width="11.5703125" style="82" customWidth="1"/>
    <col min="11774" max="11774" width="11.42578125" style="82" customWidth="1"/>
    <col min="11775" max="11776" width="8.85546875" style="82"/>
    <col min="11777" max="11777" width="11" style="82" customWidth="1"/>
    <col min="11778" max="12021" width="8.85546875" style="82"/>
    <col min="12022" max="12022" width="7.5703125" style="82" customWidth="1"/>
    <col min="12023" max="12023" width="7.28515625" style="82" customWidth="1"/>
    <col min="12024" max="12024" width="8.85546875" style="82"/>
    <col min="12025" max="12025" width="12.28515625" style="82" customWidth="1"/>
    <col min="12026" max="12026" width="12.7109375" style="82" customWidth="1"/>
    <col min="12027" max="12027" width="10.7109375" style="82" customWidth="1"/>
    <col min="12028" max="12029" width="11.5703125" style="82" customWidth="1"/>
    <col min="12030" max="12030" width="11.42578125" style="82" customWidth="1"/>
    <col min="12031" max="12032" width="8.85546875" style="82"/>
    <col min="12033" max="12033" width="11" style="82" customWidth="1"/>
    <col min="12034" max="12277" width="8.85546875" style="82"/>
    <col min="12278" max="12278" width="7.5703125" style="82" customWidth="1"/>
    <col min="12279" max="12279" width="7.28515625" style="82" customWidth="1"/>
    <col min="12280" max="12280" width="8.85546875" style="82"/>
    <col min="12281" max="12281" width="12.28515625" style="82" customWidth="1"/>
    <col min="12282" max="12282" width="12.7109375" style="82" customWidth="1"/>
    <col min="12283" max="12283" width="10.7109375" style="82" customWidth="1"/>
    <col min="12284" max="12285" width="11.5703125" style="82" customWidth="1"/>
    <col min="12286" max="12286" width="11.42578125" style="82" customWidth="1"/>
    <col min="12287" max="12288" width="8.85546875" style="82"/>
    <col min="12289" max="12289" width="11" style="82" customWidth="1"/>
    <col min="12290" max="12533" width="8.85546875" style="82"/>
    <col min="12534" max="12534" width="7.5703125" style="82" customWidth="1"/>
    <col min="12535" max="12535" width="7.28515625" style="82" customWidth="1"/>
    <col min="12536" max="12536" width="8.85546875" style="82"/>
    <col min="12537" max="12537" width="12.28515625" style="82" customWidth="1"/>
    <col min="12538" max="12538" width="12.7109375" style="82" customWidth="1"/>
    <col min="12539" max="12539" width="10.7109375" style="82" customWidth="1"/>
    <col min="12540" max="12541" width="11.5703125" style="82" customWidth="1"/>
    <col min="12542" max="12542" width="11.42578125" style="82" customWidth="1"/>
    <col min="12543" max="12544" width="8.85546875" style="82"/>
    <col min="12545" max="12545" width="11" style="82" customWidth="1"/>
    <col min="12546" max="12789" width="8.85546875" style="82"/>
    <col min="12790" max="12790" width="7.5703125" style="82" customWidth="1"/>
    <col min="12791" max="12791" width="7.28515625" style="82" customWidth="1"/>
    <col min="12792" max="12792" width="8.85546875" style="82"/>
    <col min="12793" max="12793" width="12.28515625" style="82" customWidth="1"/>
    <col min="12794" max="12794" width="12.7109375" style="82" customWidth="1"/>
    <col min="12795" max="12795" width="10.7109375" style="82" customWidth="1"/>
    <col min="12796" max="12797" width="11.5703125" style="82" customWidth="1"/>
    <col min="12798" max="12798" width="11.42578125" style="82" customWidth="1"/>
    <col min="12799" max="12800" width="8.85546875" style="82"/>
    <col min="12801" max="12801" width="11" style="82" customWidth="1"/>
    <col min="12802" max="13045" width="8.85546875" style="82"/>
    <col min="13046" max="13046" width="7.5703125" style="82" customWidth="1"/>
    <col min="13047" max="13047" width="7.28515625" style="82" customWidth="1"/>
    <col min="13048" max="13048" width="8.85546875" style="82"/>
    <col min="13049" max="13049" width="12.28515625" style="82" customWidth="1"/>
    <col min="13050" max="13050" width="12.7109375" style="82" customWidth="1"/>
    <col min="13051" max="13051" width="10.7109375" style="82" customWidth="1"/>
    <col min="13052" max="13053" width="11.5703125" style="82" customWidth="1"/>
    <col min="13054" max="13054" width="11.42578125" style="82" customWidth="1"/>
    <col min="13055" max="13056" width="8.85546875" style="82"/>
    <col min="13057" max="13057" width="11" style="82" customWidth="1"/>
    <col min="13058" max="13301" width="8.85546875" style="82"/>
    <col min="13302" max="13302" width="7.5703125" style="82" customWidth="1"/>
    <col min="13303" max="13303" width="7.28515625" style="82" customWidth="1"/>
    <col min="13304" max="13304" width="8.85546875" style="82"/>
    <col min="13305" max="13305" width="12.28515625" style="82" customWidth="1"/>
    <col min="13306" max="13306" width="12.7109375" style="82" customWidth="1"/>
    <col min="13307" max="13307" width="10.7109375" style="82" customWidth="1"/>
    <col min="13308" max="13309" width="11.5703125" style="82" customWidth="1"/>
    <col min="13310" max="13310" width="11.42578125" style="82" customWidth="1"/>
    <col min="13311" max="13312" width="8.85546875" style="82"/>
    <col min="13313" max="13313" width="11" style="82" customWidth="1"/>
    <col min="13314" max="13557" width="8.85546875" style="82"/>
    <col min="13558" max="13558" width="7.5703125" style="82" customWidth="1"/>
    <col min="13559" max="13559" width="7.28515625" style="82" customWidth="1"/>
    <col min="13560" max="13560" width="8.85546875" style="82"/>
    <col min="13561" max="13561" width="12.28515625" style="82" customWidth="1"/>
    <col min="13562" max="13562" width="12.7109375" style="82" customWidth="1"/>
    <col min="13563" max="13563" width="10.7109375" style="82" customWidth="1"/>
    <col min="13564" max="13565" width="11.5703125" style="82" customWidth="1"/>
    <col min="13566" max="13566" width="11.42578125" style="82" customWidth="1"/>
    <col min="13567" max="13568" width="8.85546875" style="82"/>
    <col min="13569" max="13569" width="11" style="82" customWidth="1"/>
    <col min="13570" max="13813" width="8.85546875" style="82"/>
    <col min="13814" max="13814" width="7.5703125" style="82" customWidth="1"/>
    <col min="13815" max="13815" width="7.28515625" style="82" customWidth="1"/>
    <col min="13816" max="13816" width="8.85546875" style="82"/>
    <col min="13817" max="13817" width="12.28515625" style="82" customWidth="1"/>
    <col min="13818" max="13818" width="12.7109375" style="82" customWidth="1"/>
    <col min="13819" max="13819" width="10.7109375" style="82" customWidth="1"/>
    <col min="13820" max="13821" width="11.5703125" style="82" customWidth="1"/>
    <col min="13822" max="13822" width="11.42578125" style="82" customWidth="1"/>
    <col min="13823" max="13824" width="8.85546875" style="82"/>
    <col min="13825" max="13825" width="11" style="82" customWidth="1"/>
    <col min="13826" max="14069" width="8.85546875" style="82"/>
    <col min="14070" max="14070" width="7.5703125" style="82" customWidth="1"/>
    <col min="14071" max="14071" width="7.28515625" style="82" customWidth="1"/>
    <col min="14072" max="14072" width="8.85546875" style="82"/>
    <col min="14073" max="14073" width="12.28515625" style="82" customWidth="1"/>
    <col min="14074" max="14074" width="12.7109375" style="82" customWidth="1"/>
    <col min="14075" max="14075" width="10.7109375" style="82" customWidth="1"/>
    <col min="14076" max="14077" width="11.5703125" style="82" customWidth="1"/>
    <col min="14078" max="14078" width="11.42578125" style="82" customWidth="1"/>
    <col min="14079" max="14080" width="8.85546875" style="82"/>
    <col min="14081" max="14081" width="11" style="82" customWidth="1"/>
    <col min="14082" max="14325" width="8.85546875" style="82"/>
    <col min="14326" max="14326" width="7.5703125" style="82" customWidth="1"/>
    <col min="14327" max="14327" width="7.28515625" style="82" customWidth="1"/>
    <col min="14328" max="14328" width="8.85546875" style="82"/>
    <col min="14329" max="14329" width="12.28515625" style="82" customWidth="1"/>
    <col min="14330" max="14330" width="12.7109375" style="82" customWidth="1"/>
    <col min="14331" max="14331" width="10.7109375" style="82" customWidth="1"/>
    <col min="14332" max="14333" width="11.5703125" style="82" customWidth="1"/>
    <col min="14334" max="14334" width="11.42578125" style="82" customWidth="1"/>
    <col min="14335" max="14336" width="8.85546875" style="82"/>
    <col min="14337" max="14337" width="11" style="82" customWidth="1"/>
    <col min="14338" max="14581" width="8.85546875" style="82"/>
    <col min="14582" max="14582" width="7.5703125" style="82" customWidth="1"/>
    <col min="14583" max="14583" width="7.28515625" style="82" customWidth="1"/>
    <col min="14584" max="14584" width="8.85546875" style="82"/>
    <col min="14585" max="14585" width="12.28515625" style="82" customWidth="1"/>
    <col min="14586" max="14586" width="12.7109375" style="82" customWidth="1"/>
    <col min="14587" max="14587" width="10.7109375" style="82" customWidth="1"/>
    <col min="14588" max="14589" width="11.5703125" style="82" customWidth="1"/>
    <col min="14590" max="14590" width="11.42578125" style="82" customWidth="1"/>
    <col min="14591" max="14592" width="8.85546875" style="82"/>
    <col min="14593" max="14593" width="11" style="82" customWidth="1"/>
    <col min="14594" max="14837" width="8.85546875" style="82"/>
    <col min="14838" max="14838" width="7.5703125" style="82" customWidth="1"/>
    <col min="14839" max="14839" width="7.28515625" style="82" customWidth="1"/>
    <col min="14840" max="14840" width="8.85546875" style="82"/>
    <col min="14841" max="14841" width="12.28515625" style="82" customWidth="1"/>
    <col min="14842" max="14842" width="12.7109375" style="82" customWidth="1"/>
    <col min="14843" max="14843" width="10.7109375" style="82" customWidth="1"/>
    <col min="14844" max="14845" width="11.5703125" style="82" customWidth="1"/>
    <col min="14846" max="14846" width="11.42578125" style="82" customWidth="1"/>
    <col min="14847" max="14848" width="8.85546875" style="82"/>
    <col min="14849" max="14849" width="11" style="82" customWidth="1"/>
    <col min="14850" max="15093" width="8.85546875" style="82"/>
    <col min="15094" max="15094" width="7.5703125" style="82" customWidth="1"/>
    <col min="15095" max="15095" width="7.28515625" style="82" customWidth="1"/>
    <col min="15096" max="15096" width="8.85546875" style="82"/>
    <col min="15097" max="15097" width="12.28515625" style="82" customWidth="1"/>
    <col min="15098" max="15098" width="12.7109375" style="82" customWidth="1"/>
    <col min="15099" max="15099" width="10.7109375" style="82" customWidth="1"/>
    <col min="15100" max="15101" width="11.5703125" style="82" customWidth="1"/>
    <col min="15102" max="15102" width="11.42578125" style="82" customWidth="1"/>
    <col min="15103" max="15104" width="8.85546875" style="82"/>
    <col min="15105" max="15105" width="11" style="82" customWidth="1"/>
    <col min="15106" max="15349" width="8.85546875" style="82"/>
    <col min="15350" max="15350" width="7.5703125" style="82" customWidth="1"/>
    <col min="15351" max="15351" width="7.28515625" style="82" customWidth="1"/>
    <col min="15352" max="15352" width="8.85546875" style="82"/>
    <col min="15353" max="15353" width="12.28515625" style="82" customWidth="1"/>
    <col min="15354" max="15354" width="12.7109375" style="82" customWidth="1"/>
    <col min="15355" max="15355" width="10.7109375" style="82" customWidth="1"/>
    <col min="15356" max="15357" width="11.5703125" style="82" customWidth="1"/>
    <col min="15358" max="15358" width="11.42578125" style="82" customWidth="1"/>
    <col min="15359" max="15360" width="8.85546875" style="82"/>
    <col min="15361" max="15361" width="11" style="82" customWidth="1"/>
    <col min="15362" max="15605" width="8.85546875" style="82"/>
    <col min="15606" max="15606" width="7.5703125" style="82" customWidth="1"/>
    <col min="15607" max="15607" width="7.28515625" style="82" customWidth="1"/>
    <col min="15608" max="15608" width="8.85546875" style="82"/>
    <col min="15609" max="15609" width="12.28515625" style="82" customWidth="1"/>
    <col min="15610" max="15610" width="12.7109375" style="82" customWidth="1"/>
    <col min="15611" max="15611" width="10.7109375" style="82" customWidth="1"/>
    <col min="15612" max="15613" width="11.5703125" style="82" customWidth="1"/>
    <col min="15614" max="15614" width="11.42578125" style="82" customWidth="1"/>
    <col min="15615" max="15616" width="8.85546875" style="82"/>
    <col min="15617" max="15617" width="11" style="82" customWidth="1"/>
    <col min="15618" max="15861" width="8.85546875" style="82"/>
    <col min="15862" max="15862" width="7.5703125" style="82" customWidth="1"/>
    <col min="15863" max="15863" width="7.28515625" style="82" customWidth="1"/>
    <col min="15864" max="15864" width="8.85546875" style="82"/>
    <col min="15865" max="15865" width="12.28515625" style="82" customWidth="1"/>
    <col min="15866" max="15866" width="12.7109375" style="82" customWidth="1"/>
    <col min="15867" max="15867" width="10.7109375" style="82" customWidth="1"/>
    <col min="15868" max="15869" width="11.5703125" style="82" customWidth="1"/>
    <col min="15870" max="15870" width="11.42578125" style="82" customWidth="1"/>
    <col min="15871" max="15872" width="8.85546875" style="82"/>
    <col min="15873" max="15873" width="11" style="82" customWidth="1"/>
    <col min="15874" max="16117" width="8.85546875" style="82"/>
    <col min="16118" max="16118" width="7.5703125" style="82" customWidth="1"/>
    <col min="16119" max="16119" width="7.28515625" style="82" customWidth="1"/>
    <col min="16120" max="16120" width="8.85546875" style="82"/>
    <col min="16121" max="16121" width="12.28515625" style="82" customWidth="1"/>
    <col min="16122" max="16122" width="12.7109375" style="82" customWidth="1"/>
    <col min="16123" max="16123" width="10.7109375" style="82" customWidth="1"/>
    <col min="16124" max="16125" width="11.5703125" style="82" customWidth="1"/>
    <col min="16126" max="16126" width="11.42578125" style="82" customWidth="1"/>
    <col min="16127" max="16128" width="8.85546875" style="82"/>
    <col min="16129" max="16129" width="11" style="82" customWidth="1"/>
    <col min="16130" max="16374" width="8.85546875" style="82"/>
    <col min="16375" max="16384" width="9.28515625" style="82" customWidth="1"/>
  </cols>
  <sheetData>
    <row r="1" spans="1:12" ht="27.75" customHeight="1" thickBot="1">
      <c r="A1" s="1633" t="s">
        <v>2973</v>
      </c>
      <c r="B1" s="1633"/>
      <c r="C1" s="1633"/>
      <c r="D1" s="1633"/>
      <c r="E1" s="1633"/>
      <c r="F1" s="1633"/>
    </row>
    <row r="2" spans="1:12" ht="44.45" customHeight="1">
      <c r="A2" s="544" t="s">
        <v>1576</v>
      </c>
      <c r="B2" s="545" t="s">
        <v>1577</v>
      </c>
      <c r="C2" s="539" t="s">
        <v>1578</v>
      </c>
      <c r="D2" s="546" t="s">
        <v>2152</v>
      </c>
      <c r="E2" s="546" t="s">
        <v>2832</v>
      </c>
      <c r="F2" s="547" t="s">
        <v>2023</v>
      </c>
    </row>
    <row r="3" spans="1:12" ht="31.5">
      <c r="A3" s="550">
        <v>1</v>
      </c>
      <c r="B3" s="551" t="s">
        <v>1571</v>
      </c>
      <c r="C3" s="552"/>
      <c r="D3" s="552"/>
      <c r="E3" s="1395"/>
      <c r="F3" s="553"/>
      <c r="G3" s="542">
        <v>9847546403</v>
      </c>
      <c r="K3" s="1490" t="s">
        <v>2904</v>
      </c>
    </row>
    <row r="4" spans="1:12" ht="24.75">
      <c r="A4" s="548"/>
      <c r="B4" s="296" t="s">
        <v>2898</v>
      </c>
      <c r="C4" s="273" t="s">
        <v>1579</v>
      </c>
      <c r="D4" s="298">
        <v>122</v>
      </c>
      <c r="E4" s="1396">
        <f>D4</f>
        <v>122</v>
      </c>
      <c r="F4" s="543"/>
      <c r="K4" s="1490">
        <v>175</v>
      </c>
      <c r="L4" s="1491">
        <f>(K4-E4)/K4</f>
        <v>0.30285714285714288</v>
      </c>
    </row>
    <row r="5" spans="1:12" ht="24.75">
      <c r="A5" s="548"/>
      <c r="B5" s="296" t="s">
        <v>2899</v>
      </c>
      <c r="C5" s="273" t="s">
        <v>1579</v>
      </c>
      <c r="D5" s="298">
        <v>170</v>
      </c>
      <c r="E5" s="1396">
        <f t="shared" ref="E5:E69" si="0">D5</f>
        <v>170</v>
      </c>
      <c r="F5" s="543"/>
      <c r="K5" s="1490">
        <v>275</v>
      </c>
      <c r="L5" s="1491">
        <f t="shared" ref="L5:L9" si="1">(K5-E5)/K5</f>
        <v>0.38181818181818183</v>
      </c>
    </row>
    <row r="6" spans="1:12" ht="24.75">
      <c r="A6" s="548"/>
      <c r="B6" s="296" t="s">
        <v>2900</v>
      </c>
      <c r="C6" s="273" t="s">
        <v>1579</v>
      </c>
      <c r="D6" s="298">
        <v>223</v>
      </c>
      <c r="E6" s="1396">
        <f t="shared" si="0"/>
        <v>223</v>
      </c>
      <c r="F6" s="543"/>
      <c r="K6" s="1490">
        <v>445</v>
      </c>
      <c r="L6" s="1491">
        <f t="shared" si="1"/>
        <v>0.49887640449438203</v>
      </c>
    </row>
    <row r="7" spans="1:12" ht="24.75">
      <c r="A7" s="548"/>
      <c r="B7" s="296" t="s">
        <v>2901</v>
      </c>
      <c r="C7" s="273" t="s">
        <v>1579</v>
      </c>
      <c r="D7" s="298">
        <v>278</v>
      </c>
      <c r="E7" s="1396">
        <f t="shared" si="0"/>
        <v>278</v>
      </c>
      <c r="F7" s="543"/>
      <c r="K7" s="1490">
        <v>630</v>
      </c>
      <c r="L7" s="1491">
        <f t="shared" si="1"/>
        <v>0.55873015873015874</v>
      </c>
    </row>
    <row r="8" spans="1:12" ht="24.75">
      <c r="A8" s="548"/>
      <c r="B8" s="296" t="s">
        <v>2902</v>
      </c>
      <c r="C8" s="273" t="s">
        <v>1579</v>
      </c>
      <c r="D8" s="298">
        <v>390</v>
      </c>
      <c r="E8" s="1396">
        <f t="shared" si="0"/>
        <v>390</v>
      </c>
      <c r="F8" s="543"/>
      <c r="K8" s="1490">
        <v>860</v>
      </c>
      <c r="L8" s="1491">
        <f t="shared" si="1"/>
        <v>0.54651162790697672</v>
      </c>
    </row>
    <row r="9" spans="1:12" ht="24.75">
      <c r="A9" s="548"/>
      <c r="B9" s="296" t="s">
        <v>2903</v>
      </c>
      <c r="C9" s="273" t="s">
        <v>1579</v>
      </c>
      <c r="D9" s="298">
        <v>596</v>
      </c>
      <c r="E9" s="1396">
        <f t="shared" si="0"/>
        <v>596</v>
      </c>
      <c r="F9" s="543"/>
      <c r="K9" s="1490">
        <v>1485</v>
      </c>
      <c r="L9" s="1491">
        <f t="shared" si="1"/>
        <v>0.59865319865319866</v>
      </c>
    </row>
    <row r="10" spans="1:12" ht="31.5">
      <c r="A10" s="550">
        <v>2</v>
      </c>
      <c r="B10" s="551" t="s">
        <v>1570</v>
      </c>
      <c r="C10" s="554"/>
      <c r="D10" s="555"/>
      <c r="E10" s="1397"/>
      <c r="F10" s="553"/>
    </row>
    <row r="11" spans="1:12" ht="24.75">
      <c r="A11" s="548"/>
      <c r="B11" s="296" t="s">
        <v>2898</v>
      </c>
      <c r="C11" s="273" t="s">
        <v>1579</v>
      </c>
      <c r="D11" s="298">
        <v>139</v>
      </c>
      <c r="E11" s="1396">
        <f t="shared" si="0"/>
        <v>139</v>
      </c>
      <c r="F11" s="543"/>
      <c r="K11" s="1492">
        <v>200</v>
      </c>
      <c r="L11" s="1491">
        <f>(K11-E11)/K11</f>
        <v>0.30499999999999999</v>
      </c>
    </row>
    <row r="12" spans="1:12" ht="24.75">
      <c r="A12" s="548"/>
      <c r="B12" s="296" t="s">
        <v>2899</v>
      </c>
      <c r="C12" s="273" t="s">
        <v>1579</v>
      </c>
      <c r="D12" s="298">
        <v>189</v>
      </c>
      <c r="E12" s="1396">
        <f t="shared" si="0"/>
        <v>189</v>
      </c>
      <c r="F12" s="543"/>
      <c r="K12" s="1492">
        <v>310</v>
      </c>
      <c r="L12" s="1491">
        <f t="shared" ref="L12:L16" si="2">(K12-E12)/K12</f>
        <v>0.39032258064516129</v>
      </c>
    </row>
    <row r="13" spans="1:12" ht="24.75">
      <c r="A13" s="548"/>
      <c r="B13" s="296" t="s">
        <v>2900</v>
      </c>
      <c r="C13" s="273" t="s">
        <v>1579</v>
      </c>
      <c r="D13" s="298">
        <v>264</v>
      </c>
      <c r="E13" s="1396">
        <f t="shared" si="0"/>
        <v>264</v>
      </c>
      <c r="F13" s="543"/>
      <c r="K13" s="1492">
        <v>485</v>
      </c>
      <c r="L13" s="1491">
        <f t="shared" si="2"/>
        <v>0.4556701030927835</v>
      </c>
    </row>
    <row r="14" spans="1:12" ht="24.75">
      <c r="A14" s="548"/>
      <c r="B14" s="296" t="s">
        <v>2901</v>
      </c>
      <c r="C14" s="273" t="s">
        <v>1579</v>
      </c>
      <c r="D14" s="298">
        <v>319</v>
      </c>
      <c r="E14" s="1396">
        <f t="shared" si="0"/>
        <v>319</v>
      </c>
      <c r="F14" s="543"/>
      <c r="K14" s="1492">
        <v>710</v>
      </c>
      <c r="L14" s="1491">
        <f t="shared" si="2"/>
        <v>0.55070422535211272</v>
      </c>
    </row>
    <row r="15" spans="1:12" ht="24.75">
      <c r="A15" s="548"/>
      <c r="B15" s="296" t="s">
        <v>2902</v>
      </c>
      <c r="C15" s="273" t="s">
        <v>1579</v>
      </c>
      <c r="D15" s="298">
        <v>445</v>
      </c>
      <c r="E15" s="1396">
        <f t="shared" si="0"/>
        <v>445</v>
      </c>
      <c r="F15" s="543"/>
      <c r="K15" s="1492">
        <v>1005</v>
      </c>
      <c r="L15" s="1491">
        <f t="shared" si="2"/>
        <v>0.55721393034825872</v>
      </c>
    </row>
    <row r="16" spans="1:12" ht="24.75">
      <c r="A16" s="548"/>
      <c r="B16" s="296" t="s">
        <v>2903</v>
      </c>
      <c r="C16" s="273" t="s">
        <v>1579</v>
      </c>
      <c r="D16" s="298">
        <v>721</v>
      </c>
      <c r="E16" s="1396">
        <f t="shared" si="0"/>
        <v>721</v>
      </c>
      <c r="F16" s="543"/>
      <c r="K16" s="1492">
        <v>1685</v>
      </c>
      <c r="L16" s="1491">
        <f t="shared" si="2"/>
        <v>0.57210682492581599</v>
      </c>
    </row>
    <row r="17" spans="1:12" ht="24.75">
      <c r="A17" s="550">
        <v>3</v>
      </c>
      <c r="B17" s="551" t="s">
        <v>1572</v>
      </c>
      <c r="C17" s="554"/>
      <c r="D17" s="555"/>
      <c r="E17" s="1397"/>
      <c r="F17" s="553"/>
    </row>
    <row r="18" spans="1:12" ht="24.75">
      <c r="A18" s="549"/>
      <c r="B18" s="296" t="s">
        <v>2898</v>
      </c>
      <c r="C18" s="273" t="s">
        <v>733</v>
      </c>
      <c r="D18" s="299">
        <v>235</v>
      </c>
      <c r="E18" s="1396">
        <f t="shared" si="0"/>
        <v>235</v>
      </c>
      <c r="F18" s="543"/>
      <c r="K18" s="1492">
        <v>350</v>
      </c>
      <c r="L18" s="1491">
        <f>(K18-E18)/K18</f>
        <v>0.32857142857142857</v>
      </c>
    </row>
    <row r="19" spans="1:12" ht="24.75">
      <c r="A19" s="549"/>
      <c r="B19" s="296" t="s">
        <v>2899</v>
      </c>
      <c r="C19" s="273" t="s">
        <v>733</v>
      </c>
      <c r="D19" s="299">
        <v>363</v>
      </c>
      <c r="E19" s="1396">
        <f t="shared" si="0"/>
        <v>363</v>
      </c>
      <c r="F19" s="543"/>
      <c r="K19" s="1492">
        <v>550</v>
      </c>
      <c r="L19" s="1491">
        <f t="shared" ref="L19:L23" si="3">(K19-E19)/K19</f>
        <v>0.34</v>
      </c>
    </row>
    <row r="20" spans="1:12" ht="24.75">
      <c r="A20" s="549"/>
      <c r="B20" s="296" t="s">
        <v>2900</v>
      </c>
      <c r="C20" s="273" t="s">
        <v>733</v>
      </c>
      <c r="D20" s="299">
        <v>597</v>
      </c>
      <c r="E20" s="1396">
        <f t="shared" si="0"/>
        <v>597</v>
      </c>
      <c r="F20" s="543"/>
      <c r="K20" s="1492">
        <v>890</v>
      </c>
      <c r="L20" s="1491">
        <f t="shared" si="3"/>
        <v>0.32921348314606741</v>
      </c>
    </row>
    <row r="21" spans="1:12" ht="24.75">
      <c r="A21" s="549"/>
      <c r="B21" s="296" t="s">
        <v>2901</v>
      </c>
      <c r="C21" s="273" t="s">
        <v>733</v>
      </c>
      <c r="D21" s="299">
        <v>1059</v>
      </c>
      <c r="E21" s="1396">
        <f t="shared" si="0"/>
        <v>1059</v>
      </c>
      <c r="F21" s="543"/>
      <c r="K21" s="1492">
        <v>1590</v>
      </c>
      <c r="L21" s="1491">
        <f t="shared" si="3"/>
        <v>0.33396226415094338</v>
      </c>
    </row>
    <row r="22" spans="1:12" ht="24.75">
      <c r="A22" s="549"/>
      <c r="B22" s="296" t="s">
        <v>2902</v>
      </c>
      <c r="C22" s="273" t="s">
        <v>733</v>
      </c>
      <c r="D22" s="299">
        <v>1725</v>
      </c>
      <c r="E22" s="1396">
        <f t="shared" si="0"/>
        <v>1725</v>
      </c>
      <c r="F22" s="543"/>
      <c r="K22" s="1492">
        <v>2590</v>
      </c>
      <c r="L22" s="1491">
        <f t="shared" si="3"/>
        <v>0.33397683397683398</v>
      </c>
    </row>
    <row r="23" spans="1:12" ht="24.75">
      <c r="A23" s="549"/>
      <c r="B23" s="296" t="s">
        <v>2903</v>
      </c>
      <c r="C23" s="273" t="s">
        <v>733</v>
      </c>
      <c r="D23" s="299">
        <v>2222</v>
      </c>
      <c r="E23" s="1396">
        <f t="shared" si="0"/>
        <v>2222</v>
      </c>
      <c r="F23" s="543"/>
      <c r="K23" s="1492">
        <v>3900</v>
      </c>
      <c r="L23" s="1491">
        <f t="shared" si="3"/>
        <v>0.43025641025641026</v>
      </c>
    </row>
    <row r="24" spans="1:12" ht="24.75">
      <c r="A24" s="550">
        <v>4</v>
      </c>
      <c r="B24" s="551" t="s">
        <v>1573</v>
      </c>
      <c r="C24" s="554"/>
      <c r="D24" s="555"/>
      <c r="E24" s="1397"/>
      <c r="F24" s="553"/>
    </row>
    <row r="25" spans="1:12" ht="24.75">
      <c r="A25" s="548"/>
      <c r="B25" s="295" t="s">
        <v>1580</v>
      </c>
      <c r="C25" s="273" t="s">
        <v>733</v>
      </c>
      <c r="D25" s="298">
        <v>147</v>
      </c>
      <c r="E25" s="1396">
        <f t="shared" si="0"/>
        <v>147</v>
      </c>
      <c r="F25" s="543"/>
      <c r="K25" s="1492">
        <v>235</v>
      </c>
      <c r="L25" s="1491">
        <f t="shared" ref="L25:L26" si="4">(K25-E25)/K25</f>
        <v>0.37446808510638296</v>
      </c>
    </row>
    <row r="26" spans="1:12" ht="24.75">
      <c r="A26" s="548"/>
      <c r="B26" s="295" t="s">
        <v>1581</v>
      </c>
      <c r="C26" s="273" t="s">
        <v>733</v>
      </c>
      <c r="D26" s="298">
        <v>192</v>
      </c>
      <c r="E26" s="1396">
        <f t="shared" si="0"/>
        <v>192</v>
      </c>
      <c r="F26" s="543"/>
      <c r="K26" s="1492">
        <v>335</v>
      </c>
      <c r="L26" s="1491">
        <f t="shared" si="4"/>
        <v>0.42686567164179107</v>
      </c>
    </row>
    <row r="27" spans="1:12" ht="24.75">
      <c r="A27" s="550">
        <v>5</v>
      </c>
      <c r="B27" s="556" t="s">
        <v>1574</v>
      </c>
      <c r="C27" s="554"/>
      <c r="D27" s="555"/>
      <c r="E27" s="1397"/>
      <c r="F27" s="553"/>
    </row>
    <row r="28" spans="1:12" ht="24.75">
      <c r="A28" s="548"/>
      <c r="B28" s="296" t="s">
        <v>2898</v>
      </c>
      <c r="C28" s="273" t="s">
        <v>733</v>
      </c>
      <c r="D28" s="298">
        <v>38</v>
      </c>
      <c r="E28" s="1396">
        <f t="shared" si="0"/>
        <v>38</v>
      </c>
      <c r="F28" s="543"/>
      <c r="K28" s="1492">
        <v>39</v>
      </c>
      <c r="L28" s="1491">
        <f>(K28-E28)/K28</f>
        <v>2.564102564102564E-2</v>
      </c>
    </row>
    <row r="29" spans="1:12" ht="24.75">
      <c r="A29" s="548"/>
      <c r="B29" s="296" t="s">
        <v>2899</v>
      </c>
      <c r="C29" s="273" t="s">
        <v>733</v>
      </c>
      <c r="D29" s="298">
        <v>82</v>
      </c>
      <c r="E29" s="1557">
        <v>65</v>
      </c>
      <c r="F29" s="543"/>
      <c r="K29" s="1492">
        <v>65</v>
      </c>
      <c r="L29" s="1491">
        <f t="shared" ref="L29:L33" si="5">(K29-E29)/K29</f>
        <v>0</v>
      </c>
    </row>
    <row r="30" spans="1:12" ht="24.75">
      <c r="A30" s="548"/>
      <c r="B30" s="296" t="s">
        <v>2900</v>
      </c>
      <c r="C30" s="273" t="s">
        <v>733</v>
      </c>
      <c r="D30" s="298">
        <v>124</v>
      </c>
      <c r="E30" s="1557">
        <v>110</v>
      </c>
      <c r="F30" s="543"/>
      <c r="K30" s="1492">
        <v>110</v>
      </c>
      <c r="L30" s="1491">
        <f t="shared" si="5"/>
        <v>0</v>
      </c>
    </row>
    <row r="31" spans="1:12" ht="24.75">
      <c r="A31" s="548"/>
      <c r="B31" s="296" t="s">
        <v>2901</v>
      </c>
      <c r="C31" s="273" t="s">
        <v>733</v>
      </c>
      <c r="D31" s="298">
        <v>234</v>
      </c>
      <c r="E31" s="1557">
        <v>230</v>
      </c>
      <c r="F31" s="543"/>
      <c r="K31" s="1492">
        <v>230</v>
      </c>
      <c r="L31" s="1491">
        <f t="shared" si="5"/>
        <v>0</v>
      </c>
    </row>
    <row r="32" spans="1:12" ht="24.75">
      <c r="A32" s="548"/>
      <c r="B32" s="296" t="s">
        <v>2902</v>
      </c>
      <c r="C32" s="273" t="s">
        <v>733</v>
      </c>
      <c r="D32" s="298">
        <v>341</v>
      </c>
      <c r="E32" s="1396">
        <f t="shared" si="0"/>
        <v>341</v>
      </c>
      <c r="F32" s="543"/>
      <c r="K32" s="1492">
        <v>355</v>
      </c>
      <c r="L32" s="1491">
        <f t="shared" si="5"/>
        <v>3.9436619718309862E-2</v>
      </c>
    </row>
    <row r="33" spans="1:12" ht="24.75">
      <c r="A33" s="548"/>
      <c r="B33" s="296" t="s">
        <v>2903</v>
      </c>
      <c r="C33" s="273" t="s">
        <v>733</v>
      </c>
      <c r="D33" s="298">
        <v>732</v>
      </c>
      <c r="E33" s="1396">
        <f t="shared" si="0"/>
        <v>732</v>
      </c>
      <c r="F33" s="543"/>
      <c r="K33" s="1492">
        <v>795</v>
      </c>
      <c r="L33" s="1491">
        <f t="shared" si="5"/>
        <v>7.9245283018867921E-2</v>
      </c>
    </row>
    <row r="34" spans="1:12" ht="24.75">
      <c r="A34" s="550">
        <v>6</v>
      </c>
      <c r="B34" s="551" t="s">
        <v>1575</v>
      </c>
      <c r="C34" s="554"/>
      <c r="D34" s="555"/>
      <c r="E34" s="1397"/>
      <c r="F34" s="553"/>
    </row>
    <row r="35" spans="1:12" ht="24.75">
      <c r="A35" s="548"/>
      <c r="B35" s="295" t="s">
        <v>1582</v>
      </c>
      <c r="C35" s="273" t="s">
        <v>733</v>
      </c>
      <c r="D35" s="298">
        <v>74</v>
      </c>
      <c r="E35" s="1396">
        <f t="shared" si="0"/>
        <v>74</v>
      </c>
      <c r="F35" s="543"/>
    </row>
    <row r="36" spans="1:12" ht="24.75">
      <c r="A36" s="548"/>
      <c r="B36" s="295" t="s">
        <v>1583</v>
      </c>
      <c r="C36" s="273" t="s">
        <v>733</v>
      </c>
      <c r="D36" s="298">
        <v>114</v>
      </c>
      <c r="E36" s="1396">
        <f t="shared" si="0"/>
        <v>114</v>
      </c>
      <c r="F36" s="543"/>
    </row>
    <row r="37" spans="1:12" ht="24.75">
      <c r="A37" s="548"/>
      <c r="B37" s="295" t="s">
        <v>1584</v>
      </c>
      <c r="C37" s="273" t="s">
        <v>733</v>
      </c>
      <c r="D37" s="298">
        <v>142</v>
      </c>
      <c r="E37" s="1396">
        <f t="shared" si="0"/>
        <v>142</v>
      </c>
      <c r="F37" s="543"/>
    </row>
    <row r="38" spans="1:12" ht="24.75">
      <c r="A38" s="548"/>
      <c r="B38" s="295" t="s">
        <v>1585</v>
      </c>
      <c r="C38" s="273" t="s">
        <v>733</v>
      </c>
      <c r="D38" s="298">
        <v>163</v>
      </c>
      <c r="E38" s="1396">
        <f t="shared" si="0"/>
        <v>163</v>
      </c>
      <c r="F38" s="543"/>
    </row>
    <row r="39" spans="1:12" ht="24.75">
      <c r="A39" s="548"/>
      <c r="B39" s="295" t="s">
        <v>1586</v>
      </c>
      <c r="C39" s="273" t="s">
        <v>733</v>
      </c>
      <c r="D39" s="298">
        <v>171</v>
      </c>
      <c r="E39" s="1396">
        <f t="shared" si="0"/>
        <v>171</v>
      </c>
      <c r="F39" s="543"/>
    </row>
    <row r="40" spans="1:12" ht="24.75">
      <c r="A40" s="548"/>
      <c r="B40" s="295" t="s">
        <v>1587</v>
      </c>
      <c r="C40" s="273" t="s">
        <v>733</v>
      </c>
      <c r="D40" s="298">
        <v>267</v>
      </c>
      <c r="E40" s="1396">
        <f t="shared" si="0"/>
        <v>267</v>
      </c>
      <c r="F40" s="543"/>
    </row>
    <row r="41" spans="1:12" ht="24.75">
      <c r="A41" s="548"/>
      <c r="B41" s="295" t="s">
        <v>1588</v>
      </c>
      <c r="C41" s="273" t="s">
        <v>733</v>
      </c>
      <c r="D41" s="298">
        <v>464</v>
      </c>
      <c r="E41" s="1396">
        <f t="shared" si="0"/>
        <v>464</v>
      </c>
      <c r="F41" s="543"/>
    </row>
    <row r="42" spans="1:12" ht="24.75">
      <c r="A42" s="548"/>
      <c r="B42" s="295" t="s">
        <v>1589</v>
      </c>
      <c r="C42" s="273" t="s">
        <v>733</v>
      </c>
      <c r="D42" s="298">
        <v>151</v>
      </c>
      <c r="E42" s="1396">
        <f t="shared" si="0"/>
        <v>151</v>
      </c>
      <c r="F42" s="543"/>
    </row>
    <row r="43" spans="1:12" ht="24.75">
      <c r="A43" s="548"/>
      <c r="B43" s="295" t="s">
        <v>1590</v>
      </c>
      <c r="C43" s="273" t="s">
        <v>733</v>
      </c>
      <c r="D43" s="298">
        <v>163</v>
      </c>
      <c r="E43" s="1396">
        <f t="shared" si="0"/>
        <v>163</v>
      </c>
      <c r="F43" s="543"/>
    </row>
    <row r="44" spans="1:12" ht="24.75">
      <c r="A44" s="548"/>
      <c r="B44" s="295" t="s">
        <v>1591</v>
      </c>
      <c r="C44" s="273" t="s">
        <v>733</v>
      </c>
      <c r="D44" s="298">
        <v>456</v>
      </c>
      <c r="E44" s="1396">
        <f t="shared" si="0"/>
        <v>456</v>
      </c>
      <c r="F44" s="543"/>
    </row>
    <row r="45" spans="1:12" ht="24.75">
      <c r="A45" s="548"/>
      <c r="B45" s="295" t="s">
        <v>1592</v>
      </c>
      <c r="C45" s="273" t="s">
        <v>733</v>
      </c>
      <c r="D45" s="298">
        <v>104</v>
      </c>
      <c r="E45" s="1396">
        <f t="shared" si="0"/>
        <v>104</v>
      </c>
      <c r="F45" s="543"/>
    </row>
    <row r="46" spans="1:12" ht="24.75">
      <c r="A46" s="550">
        <v>7</v>
      </c>
      <c r="B46" s="551" t="s">
        <v>1593</v>
      </c>
      <c r="C46" s="554"/>
      <c r="D46" s="555"/>
      <c r="E46" s="1397"/>
      <c r="F46" s="553"/>
    </row>
    <row r="47" spans="1:12" ht="24.75">
      <c r="A47" s="548"/>
      <c r="B47" s="295" t="s">
        <v>1596</v>
      </c>
      <c r="C47" s="273" t="s">
        <v>733</v>
      </c>
      <c r="D47" s="298">
        <v>127</v>
      </c>
      <c r="E47" s="1396">
        <f t="shared" si="0"/>
        <v>127</v>
      </c>
      <c r="F47" s="543"/>
    </row>
    <row r="48" spans="1:12" ht="24.75">
      <c r="A48" s="548"/>
      <c r="B48" s="295" t="s">
        <v>1597</v>
      </c>
      <c r="C48" s="273" t="s">
        <v>733</v>
      </c>
      <c r="D48" s="298">
        <v>133</v>
      </c>
      <c r="E48" s="1396">
        <f t="shared" si="0"/>
        <v>133</v>
      </c>
      <c r="F48" s="543"/>
    </row>
    <row r="49" spans="1:12" ht="24.75">
      <c r="A49" s="548"/>
      <c r="B49" s="295" t="s">
        <v>1592</v>
      </c>
      <c r="C49" s="273" t="s">
        <v>733</v>
      </c>
      <c r="D49" s="298">
        <v>148</v>
      </c>
      <c r="E49" s="1396">
        <f t="shared" si="0"/>
        <v>148</v>
      </c>
      <c r="F49" s="543"/>
    </row>
    <row r="50" spans="1:12" ht="24.75">
      <c r="A50" s="548"/>
      <c r="B50" s="295" t="s">
        <v>1598</v>
      </c>
      <c r="C50" s="273" t="s">
        <v>733</v>
      </c>
      <c r="D50" s="298">
        <v>534</v>
      </c>
      <c r="E50" s="1396">
        <f t="shared" si="0"/>
        <v>534</v>
      </c>
      <c r="F50" s="543"/>
    </row>
    <row r="51" spans="1:12" ht="24.75">
      <c r="A51" s="548"/>
      <c r="B51" s="295" t="s">
        <v>1594</v>
      </c>
      <c r="C51" s="273" t="s">
        <v>733</v>
      </c>
      <c r="D51" s="298">
        <v>290</v>
      </c>
      <c r="E51" s="1396">
        <f t="shared" si="0"/>
        <v>290</v>
      </c>
      <c r="F51" s="543"/>
    </row>
    <row r="52" spans="1:12" ht="24.75">
      <c r="A52" s="550">
        <v>8</v>
      </c>
      <c r="B52" s="551" t="s">
        <v>1599</v>
      </c>
      <c r="C52" s="554"/>
      <c r="D52" s="555"/>
      <c r="E52" s="1397"/>
      <c r="F52" s="553"/>
    </row>
    <row r="53" spans="1:12" ht="24.75">
      <c r="A53" s="548"/>
      <c r="B53" s="296" t="s">
        <v>2898</v>
      </c>
      <c r="C53" s="273" t="s">
        <v>733</v>
      </c>
      <c r="D53" s="298">
        <v>18</v>
      </c>
      <c r="E53" s="1396">
        <f t="shared" si="0"/>
        <v>18</v>
      </c>
      <c r="F53" s="543"/>
      <c r="K53" s="1492">
        <v>29</v>
      </c>
      <c r="L53" s="1491">
        <f>(K53-E53)/K53</f>
        <v>0.37931034482758619</v>
      </c>
    </row>
    <row r="54" spans="1:12" ht="24.75">
      <c r="A54" s="548"/>
      <c r="B54" s="296" t="s">
        <v>2899</v>
      </c>
      <c r="C54" s="273" t="s">
        <v>733</v>
      </c>
      <c r="D54" s="298">
        <v>33</v>
      </c>
      <c r="E54" s="1396">
        <f t="shared" si="0"/>
        <v>33</v>
      </c>
      <c r="F54" s="543"/>
      <c r="K54" s="1492">
        <v>49</v>
      </c>
      <c r="L54" s="1491">
        <f t="shared" ref="L54:L58" si="6">(K54-E54)/K54</f>
        <v>0.32653061224489793</v>
      </c>
    </row>
    <row r="55" spans="1:12" ht="24.75">
      <c r="A55" s="548"/>
      <c r="B55" s="296" t="s">
        <v>2900</v>
      </c>
      <c r="C55" s="273" t="s">
        <v>733</v>
      </c>
      <c r="D55" s="298">
        <v>61</v>
      </c>
      <c r="E55" s="1396">
        <f t="shared" si="0"/>
        <v>61</v>
      </c>
      <c r="F55" s="543"/>
      <c r="K55" s="1492">
        <v>90</v>
      </c>
      <c r="L55" s="1491">
        <f t="shared" si="6"/>
        <v>0.32222222222222224</v>
      </c>
    </row>
    <row r="56" spans="1:12" ht="24.75">
      <c r="A56" s="548"/>
      <c r="B56" s="296" t="s">
        <v>2901</v>
      </c>
      <c r="C56" s="273" t="s">
        <v>733</v>
      </c>
      <c r="D56" s="298">
        <v>124</v>
      </c>
      <c r="E56" s="1396">
        <f t="shared" si="0"/>
        <v>124</v>
      </c>
      <c r="F56" s="543"/>
      <c r="K56" s="1492">
        <v>180</v>
      </c>
      <c r="L56" s="1491">
        <f t="shared" si="6"/>
        <v>0.31111111111111112</v>
      </c>
    </row>
    <row r="57" spans="1:12" ht="24.75">
      <c r="A57" s="548"/>
      <c r="B57" s="296" t="s">
        <v>2902</v>
      </c>
      <c r="C57" s="273" t="s">
        <v>733</v>
      </c>
      <c r="D57" s="298">
        <v>180</v>
      </c>
      <c r="E57" s="1396">
        <f t="shared" si="0"/>
        <v>180</v>
      </c>
      <c r="F57" s="543"/>
      <c r="K57" s="1492">
        <v>270</v>
      </c>
      <c r="L57" s="1491">
        <f t="shared" si="6"/>
        <v>0.33333333333333331</v>
      </c>
    </row>
    <row r="58" spans="1:12" ht="24.75">
      <c r="A58" s="548"/>
      <c r="B58" s="296" t="s">
        <v>2903</v>
      </c>
      <c r="C58" s="273" t="s">
        <v>733</v>
      </c>
      <c r="D58" s="298">
        <v>396</v>
      </c>
      <c r="E58" s="1396">
        <f t="shared" si="0"/>
        <v>396</v>
      </c>
      <c r="F58" s="543"/>
      <c r="K58" s="1492">
        <v>635</v>
      </c>
      <c r="L58" s="1491">
        <f t="shared" si="6"/>
        <v>0.37637795275590552</v>
      </c>
    </row>
    <row r="59" spans="1:12" ht="24.75">
      <c r="A59" s="550">
        <v>9</v>
      </c>
      <c r="B59" s="551" t="s">
        <v>1600</v>
      </c>
      <c r="C59" s="554"/>
      <c r="D59" s="555"/>
      <c r="E59" s="1397"/>
      <c r="F59" s="553"/>
    </row>
    <row r="60" spans="1:12" ht="24.75">
      <c r="A60" s="548"/>
      <c r="B60" s="295" t="s">
        <v>1601</v>
      </c>
      <c r="C60" s="273" t="s">
        <v>733</v>
      </c>
      <c r="D60" s="298">
        <v>56</v>
      </c>
      <c r="E60" s="1396">
        <f t="shared" si="0"/>
        <v>56</v>
      </c>
      <c r="F60" s="543"/>
      <c r="K60" s="1492">
        <v>95</v>
      </c>
      <c r="L60" s="1491">
        <f t="shared" ref="L60" si="7">(K60-E60)/K60</f>
        <v>0.41052631578947368</v>
      </c>
    </row>
    <row r="61" spans="1:12" ht="24.75">
      <c r="A61" s="550">
        <v>10</v>
      </c>
      <c r="B61" s="551" t="s">
        <v>1602</v>
      </c>
      <c r="C61" s="554"/>
      <c r="D61" s="555"/>
      <c r="E61" s="1397"/>
      <c r="F61" s="553"/>
    </row>
    <row r="62" spans="1:12" ht="24.75">
      <c r="A62" s="548"/>
      <c r="B62" s="295" t="s">
        <v>1595</v>
      </c>
      <c r="C62" s="273" t="s">
        <v>733</v>
      </c>
      <c r="D62" s="298">
        <v>239</v>
      </c>
      <c r="E62" s="1557">
        <f>K62</f>
        <v>205</v>
      </c>
      <c r="F62" s="543"/>
      <c r="K62" s="1492">
        <v>205</v>
      </c>
      <c r="L62" s="1491">
        <f>(K62-E62)/K62</f>
        <v>0</v>
      </c>
    </row>
    <row r="63" spans="1:12" ht="24.75">
      <c r="A63" s="548"/>
      <c r="B63" s="295" t="s">
        <v>1580</v>
      </c>
      <c r="C63" s="273" t="s">
        <v>733</v>
      </c>
      <c r="D63" s="298">
        <v>263</v>
      </c>
      <c r="E63" s="1557">
        <f t="shared" ref="E63:E65" si="8">K63</f>
        <v>220</v>
      </c>
      <c r="F63" s="566"/>
      <c r="K63" s="1492">
        <v>220</v>
      </c>
      <c r="L63" s="1491">
        <f t="shared" ref="L63:L66" si="9">(K63-E63)/K63</f>
        <v>0</v>
      </c>
    </row>
    <row r="64" spans="1:12" ht="24.75">
      <c r="A64" s="548"/>
      <c r="B64" s="295" t="s">
        <v>1604</v>
      </c>
      <c r="C64" s="273" t="s">
        <v>733</v>
      </c>
      <c r="D64" s="298">
        <v>287</v>
      </c>
      <c r="E64" s="1557">
        <f t="shared" si="8"/>
        <v>295</v>
      </c>
      <c r="F64" s="566"/>
      <c r="K64" s="1492">
        <v>295</v>
      </c>
      <c r="L64" s="1491">
        <f t="shared" si="9"/>
        <v>0</v>
      </c>
    </row>
    <row r="65" spans="1:12" ht="24.75">
      <c r="A65" s="548"/>
      <c r="B65" s="295" t="s">
        <v>1605</v>
      </c>
      <c r="C65" s="273" t="s">
        <v>733</v>
      </c>
      <c r="D65" s="298">
        <v>424</v>
      </c>
      <c r="E65" s="1557">
        <f t="shared" si="8"/>
        <v>320</v>
      </c>
      <c r="F65" s="566"/>
      <c r="K65" s="1492">
        <v>320</v>
      </c>
      <c r="L65" s="1491">
        <f t="shared" si="9"/>
        <v>0</v>
      </c>
    </row>
    <row r="66" spans="1:12" ht="24.75">
      <c r="A66" s="548"/>
      <c r="B66" s="295" t="s">
        <v>1606</v>
      </c>
      <c r="C66" s="273" t="s">
        <v>733</v>
      </c>
      <c r="D66" s="298">
        <v>502</v>
      </c>
      <c r="E66" s="1557">
        <f>D66</f>
        <v>502</v>
      </c>
      <c r="F66" s="566"/>
      <c r="K66" s="1492">
        <v>875</v>
      </c>
      <c r="L66" s="1493">
        <f t="shared" si="9"/>
        <v>0.42628571428571427</v>
      </c>
    </row>
    <row r="67" spans="1:12" ht="24.75">
      <c r="A67" s="548"/>
      <c r="B67" s="295" t="s">
        <v>1603</v>
      </c>
      <c r="C67" s="273" t="s">
        <v>733</v>
      </c>
      <c r="D67" s="298">
        <v>919</v>
      </c>
      <c r="E67" s="1396">
        <f t="shared" si="0"/>
        <v>919</v>
      </c>
      <c r="F67" s="566"/>
      <c r="K67" s="1492">
        <v>0</v>
      </c>
      <c r="L67" s="1491"/>
    </row>
    <row r="68" spans="1:12" ht="24.75">
      <c r="A68" s="550">
        <v>11</v>
      </c>
      <c r="B68" s="556" t="s">
        <v>1607</v>
      </c>
      <c r="C68" s="554"/>
      <c r="D68" s="555"/>
      <c r="E68" s="1397"/>
      <c r="F68" s="553"/>
    </row>
    <row r="69" spans="1:12" ht="24.75">
      <c r="A69" s="548"/>
      <c r="B69" s="296" t="s">
        <v>2898</v>
      </c>
      <c r="C69" s="273" t="s">
        <v>733</v>
      </c>
      <c r="D69" s="298">
        <v>31</v>
      </c>
      <c r="E69" s="1396">
        <f t="shared" si="0"/>
        <v>31</v>
      </c>
      <c r="F69" s="543"/>
      <c r="K69" s="1492">
        <v>52</v>
      </c>
      <c r="L69" s="1491">
        <f>(K69-E69)/K69</f>
        <v>0.40384615384615385</v>
      </c>
    </row>
    <row r="70" spans="1:12" ht="24.75">
      <c r="A70" s="548"/>
      <c r="B70" s="296" t="s">
        <v>2899</v>
      </c>
      <c r="C70" s="273" t="s">
        <v>733</v>
      </c>
      <c r="D70" s="298">
        <v>57</v>
      </c>
      <c r="E70" s="1557">
        <v>45</v>
      </c>
      <c r="F70" s="543"/>
      <c r="K70" s="1492">
        <v>62</v>
      </c>
      <c r="L70" s="1491">
        <f t="shared" ref="L70:L74" si="10">(K70-E70)/K70</f>
        <v>0.27419354838709675</v>
      </c>
    </row>
    <row r="71" spans="1:12" ht="24.75">
      <c r="A71" s="548"/>
      <c r="B71" s="296" t="s">
        <v>2900</v>
      </c>
      <c r="C71" s="273" t="s">
        <v>733</v>
      </c>
      <c r="D71" s="298">
        <v>82</v>
      </c>
      <c r="E71" s="1557">
        <v>75</v>
      </c>
      <c r="F71" s="543"/>
      <c r="K71" s="1492">
        <v>100</v>
      </c>
      <c r="L71" s="1491">
        <f t="shared" si="10"/>
        <v>0.25</v>
      </c>
    </row>
    <row r="72" spans="1:12" ht="24.75">
      <c r="A72" s="548"/>
      <c r="B72" s="296" t="s">
        <v>2901</v>
      </c>
      <c r="C72" s="273" t="s">
        <v>733</v>
      </c>
      <c r="D72" s="298">
        <v>145</v>
      </c>
      <c r="E72" s="1396">
        <f t="shared" ref="E72:E74" si="11">D72</f>
        <v>145</v>
      </c>
      <c r="F72" s="543"/>
      <c r="K72" s="1492">
        <v>295</v>
      </c>
      <c r="L72" s="1491">
        <f t="shared" si="10"/>
        <v>0.50847457627118642</v>
      </c>
    </row>
    <row r="73" spans="1:12" ht="24.75">
      <c r="A73" s="548"/>
      <c r="B73" s="296" t="s">
        <v>2902</v>
      </c>
      <c r="C73" s="273" t="s">
        <v>733</v>
      </c>
      <c r="D73" s="298">
        <v>210</v>
      </c>
      <c r="E73" s="1396">
        <f t="shared" si="11"/>
        <v>210</v>
      </c>
      <c r="F73" s="543"/>
      <c r="K73" s="1492">
        <v>450</v>
      </c>
      <c r="L73" s="1491">
        <f t="shared" si="10"/>
        <v>0.53333333333333333</v>
      </c>
    </row>
    <row r="74" spans="1:12" ht="24.75">
      <c r="A74" s="548"/>
      <c r="B74" s="296" t="s">
        <v>2903</v>
      </c>
      <c r="C74" s="273" t="s">
        <v>733</v>
      </c>
      <c r="D74" s="298">
        <v>455</v>
      </c>
      <c r="E74" s="1396">
        <f t="shared" si="11"/>
        <v>455</v>
      </c>
      <c r="F74" s="543"/>
      <c r="K74" s="1492">
        <v>910</v>
      </c>
      <c r="L74" s="1491">
        <f t="shared" si="10"/>
        <v>0.5</v>
      </c>
    </row>
    <row r="75" spans="1:12" ht="24.75">
      <c r="A75" s="550">
        <v>12</v>
      </c>
      <c r="B75" s="556" t="s">
        <v>1608</v>
      </c>
      <c r="C75" s="554"/>
      <c r="D75" s="555"/>
      <c r="E75" s="1397"/>
      <c r="F75" s="553"/>
    </row>
    <row r="76" spans="1:12" ht="24.75">
      <c r="A76" s="548"/>
      <c r="B76" s="296" t="s">
        <v>2898</v>
      </c>
      <c r="C76" s="273" t="s">
        <v>733</v>
      </c>
      <c r="D76" s="298">
        <v>23</v>
      </c>
      <c r="E76" s="1396">
        <f t="shared" ref="E76:E81" si="12">D76</f>
        <v>23</v>
      </c>
      <c r="F76" s="543"/>
      <c r="K76" s="1492">
        <v>38</v>
      </c>
      <c r="L76" s="1491">
        <f>(K76-E76)/K76</f>
        <v>0.39473684210526316</v>
      </c>
    </row>
    <row r="77" spans="1:12" ht="24.75">
      <c r="A77" s="548"/>
      <c r="B77" s="296" t="s">
        <v>2899</v>
      </c>
      <c r="C77" s="273" t="s">
        <v>733</v>
      </c>
      <c r="D77" s="298">
        <v>41</v>
      </c>
      <c r="E77" s="1396">
        <f t="shared" si="12"/>
        <v>41</v>
      </c>
      <c r="F77" s="543"/>
      <c r="K77" s="1492">
        <v>57</v>
      </c>
      <c r="L77" s="1491">
        <f t="shared" ref="L77:L81" si="13">(K77-E77)/K77</f>
        <v>0.2807017543859649</v>
      </c>
    </row>
    <row r="78" spans="1:12" ht="24.75">
      <c r="A78" s="548"/>
      <c r="B78" s="296" t="s">
        <v>2900</v>
      </c>
      <c r="C78" s="273" t="s">
        <v>733</v>
      </c>
      <c r="D78" s="298">
        <v>62</v>
      </c>
      <c r="E78" s="1396">
        <f t="shared" si="12"/>
        <v>62</v>
      </c>
      <c r="F78" s="543"/>
      <c r="K78" s="1492">
        <v>90</v>
      </c>
      <c r="L78" s="1491">
        <f t="shared" si="13"/>
        <v>0.31111111111111112</v>
      </c>
    </row>
    <row r="79" spans="1:12" ht="24.75">
      <c r="A79" s="548"/>
      <c r="B79" s="296" t="s">
        <v>2901</v>
      </c>
      <c r="C79" s="273" t="s">
        <v>733</v>
      </c>
      <c r="D79" s="298">
        <v>113</v>
      </c>
      <c r="E79" s="1396">
        <f t="shared" si="12"/>
        <v>113</v>
      </c>
      <c r="F79" s="543"/>
      <c r="K79" s="1492">
        <v>150</v>
      </c>
      <c r="L79" s="1491">
        <f t="shared" si="13"/>
        <v>0.24666666666666667</v>
      </c>
    </row>
    <row r="80" spans="1:12" ht="24.75">
      <c r="A80" s="548"/>
      <c r="B80" s="296" t="s">
        <v>2902</v>
      </c>
      <c r="C80" s="273" t="s">
        <v>733</v>
      </c>
      <c r="D80" s="298">
        <v>158</v>
      </c>
      <c r="E80" s="1396">
        <f t="shared" si="12"/>
        <v>158</v>
      </c>
      <c r="F80" s="543"/>
      <c r="K80" s="1492">
        <v>220</v>
      </c>
      <c r="L80" s="1491">
        <f t="shared" si="13"/>
        <v>0.2818181818181818</v>
      </c>
    </row>
    <row r="81" spans="1:12" ht="24.75">
      <c r="A81" s="548"/>
      <c r="B81" s="296" t="s">
        <v>2903</v>
      </c>
      <c r="C81" s="273" t="s">
        <v>733</v>
      </c>
      <c r="D81" s="298">
        <v>309</v>
      </c>
      <c r="E81" s="1396">
        <f t="shared" si="12"/>
        <v>309</v>
      </c>
      <c r="F81" s="543"/>
      <c r="K81" s="1492">
        <v>430</v>
      </c>
      <c r="L81" s="1491">
        <f t="shared" si="13"/>
        <v>0.28139534883720929</v>
      </c>
    </row>
    <row r="82" spans="1:12" ht="31.5">
      <c r="A82" s="550">
        <v>13</v>
      </c>
      <c r="B82" s="556" t="s">
        <v>1609</v>
      </c>
      <c r="C82" s="554"/>
      <c r="D82" s="555"/>
      <c r="E82" s="1397"/>
      <c r="F82" s="553"/>
    </row>
    <row r="83" spans="1:12" ht="24.75">
      <c r="A83" s="548"/>
      <c r="B83" s="295" t="s">
        <v>1601</v>
      </c>
      <c r="C83" s="273" t="s">
        <v>733</v>
      </c>
      <c r="D83" s="298">
        <v>43</v>
      </c>
      <c r="E83" s="1396">
        <f t="shared" ref="E83" si="14">D83</f>
        <v>43</v>
      </c>
      <c r="F83" s="543"/>
      <c r="K83" s="1492">
        <v>85</v>
      </c>
      <c r="L83" s="1491">
        <f t="shared" ref="L83" si="15">(K83-E83)/K83</f>
        <v>0.49411764705882355</v>
      </c>
    </row>
    <row r="84" spans="1:12" ht="31.5">
      <c r="A84" s="550">
        <v>14</v>
      </c>
      <c r="B84" s="556" t="s">
        <v>1610</v>
      </c>
      <c r="C84" s="554"/>
      <c r="D84" s="555"/>
      <c r="E84" s="1397"/>
      <c r="F84" s="553"/>
    </row>
    <row r="85" spans="1:12" ht="24.75">
      <c r="A85" s="548"/>
      <c r="B85" s="296" t="s">
        <v>2898</v>
      </c>
      <c r="C85" s="273" t="s">
        <v>733</v>
      </c>
      <c r="D85" s="298">
        <v>219</v>
      </c>
      <c r="E85" s="1396">
        <f t="shared" ref="E85:E90" si="16">D85</f>
        <v>219</v>
      </c>
      <c r="F85" s="543"/>
      <c r="K85" s="1492">
        <v>410</v>
      </c>
      <c r="L85" s="1491">
        <f>(K85-E85)/K85</f>
        <v>0.46585365853658539</v>
      </c>
    </row>
    <row r="86" spans="1:12" ht="24.75">
      <c r="A86" s="548"/>
      <c r="B86" s="296" t="s">
        <v>2899</v>
      </c>
      <c r="C86" s="273" t="s">
        <v>733</v>
      </c>
      <c r="D86" s="298">
        <v>284</v>
      </c>
      <c r="E86" s="1396">
        <f t="shared" si="16"/>
        <v>284</v>
      </c>
      <c r="F86" s="543"/>
      <c r="K86" s="1492">
        <v>570</v>
      </c>
      <c r="L86" s="1491">
        <f t="shared" ref="L86:L90" si="17">(K86-E86)/K86</f>
        <v>0.50175438596491229</v>
      </c>
    </row>
    <row r="87" spans="1:12" ht="24.75">
      <c r="A87" s="548"/>
      <c r="B87" s="296" t="s">
        <v>2900</v>
      </c>
      <c r="C87" s="273" t="s">
        <v>733</v>
      </c>
      <c r="D87" s="298">
        <v>448</v>
      </c>
      <c r="E87" s="1396">
        <f t="shared" si="16"/>
        <v>448</v>
      </c>
      <c r="F87" s="543"/>
      <c r="K87" s="1492">
        <v>990</v>
      </c>
      <c r="L87" s="1491">
        <f t="shared" si="17"/>
        <v>0.54747474747474745</v>
      </c>
    </row>
    <row r="88" spans="1:12" ht="24.75">
      <c r="A88" s="548"/>
      <c r="B88" s="296" t="s">
        <v>2901</v>
      </c>
      <c r="C88" s="273" t="s">
        <v>733</v>
      </c>
      <c r="D88" s="298">
        <v>987</v>
      </c>
      <c r="E88" s="1396">
        <f t="shared" si="16"/>
        <v>987</v>
      </c>
      <c r="F88" s="543"/>
      <c r="K88" s="1492">
        <v>1990</v>
      </c>
      <c r="L88" s="1491">
        <f t="shared" si="17"/>
        <v>0.50402010050251256</v>
      </c>
    </row>
    <row r="89" spans="1:12" ht="24.75">
      <c r="A89" s="548"/>
      <c r="B89" s="296" t="s">
        <v>2902</v>
      </c>
      <c r="C89" s="273" t="s">
        <v>733</v>
      </c>
      <c r="D89" s="298">
        <v>1151</v>
      </c>
      <c r="E89" s="1396">
        <f t="shared" si="16"/>
        <v>1151</v>
      </c>
      <c r="F89" s="543"/>
      <c r="K89" s="1492">
        <v>2550</v>
      </c>
      <c r="L89" s="1491">
        <f t="shared" si="17"/>
        <v>0.54862745098039212</v>
      </c>
    </row>
    <row r="90" spans="1:12" ht="24.75">
      <c r="A90" s="548"/>
      <c r="B90" s="296" t="s">
        <v>2903</v>
      </c>
      <c r="C90" s="273" t="s">
        <v>733</v>
      </c>
      <c r="D90" s="298">
        <v>2371</v>
      </c>
      <c r="E90" s="1396">
        <f t="shared" si="16"/>
        <v>2371</v>
      </c>
      <c r="F90" s="543"/>
      <c r="K90" s="1492">
        <v>4450</v>
      </c>
      <c r="L90" s="1491">
        <f t="shared" si="17"/>
        <v>0.46719101123595508</v>
      </c>
    </row>
    <row r="91" spans="1:12" ht="31.5">
      <c r="A91" s="557">
        <v>15</v>
      </c>
      <c r="B91" s="556" t="s">
        <v>1611</v>
      </c>
      <c r="C91" s="558"/>
      <c r="D91" s="559"/>
      <c r="E91" s="1398"/>
      <c r="F91" s="560"/>
    </row>
    <row r="92" spans="1:12" ht="24.75">
      <c r="A92" s="548"/>
      <c r="B92" s="295" t="s">
        <v>1601</v>
      </c>
      <c r="C92" s="273" t="s">
        <v>733</v>
      </c>
      <c r="D92" s="298">
        <v>244</v>
      </c>
      <c r="E92" s="1396">
        <f t="shared" ref="E92" si="18">D92</f>
        <v>244</v>
      </c>
      <c r="F92" s="543"/>
    </row>
    <row r="93" spans="1:12" ht="31.5">
      <c r="A93" s="557">
        <v>16</v>
      </c>
      <c r="B93" s="556" t="s">
        <v>1612</v>
      </c>
      <c r="C93" s="558"/>
      <c r="D93" s="559"/>
      <c r="E93" s="1398"/>
      <c r="F93" s="560"/>
    </row>
    <row r="94" spans="1:12" ht="24.75">
      <c r="A94" s="548"/>
      <c r="B94" s="296" t="s">
        <v>2898</v>
      </c>
      <c r="C94" s="273" t="s">
        <v>733</v>
      </c>
      <c r="D94" s="298">
        <v>33</v>
      </c>
      <c r="E94" s="1396">
        <f t="shared" ref="E94:E96" si="19">D94</f>
        <v>33</v>
      </c>
      <c r="F94" s="543"/>
      <c r="K94" s="1492">
        <v>60</v>
      </c>
      <c r="L94" s="1491">
        <f t="shared" ref="L94:L96" si="20">(K94-E94)/K94</f>
        <v>0.45</v>
      </c>
    </row>
    <row r="95" spans="1:12" ht="24.75">
      <c r="A95" s="548"/>
      <c r="B95" s="296" t="s">
        <v>2899</v>
      </c>
      <c r="C95" s="273" t="s">
        <v>733</v>
      </c>
      <c r="D95" s="298">
        <v>54</v>
      </c>
      <c r="E95" s="1396">
        <f t="shared" si="19"/>
        <v>54</v>
      </c>
      <c r="F95" s="543"/>
      <c r="K95" s="1492">
        <v>90</v>
      </c>
      <c r="L95" s="1491">
        <f t="shared" si="20"/>
        <v>0.4</v>
      </c>
    </row>
    <row r="96" spans="1:12" ht="24.75">
      <c r="A96" s="548"/>
      <c r="B96" s="296" t="s">
        <v>2900</v>
      </c>
      <c r="C96" s="273" t="s">
        <v>733</v>
      </c>
      <c r="D96" s="298">
        <v>82</v>
      </c>
      <c r="E96" s="1396">
        <f t="shared" si="19"/>
        <v>82</v>
      </c>
      <c r="F96" s="543"/>
      <c r="K96" s="1492">
        <v>140</v>
      </c>
      <c r="L96" s="1491">
        <f t="shared" si="20"/>
        <v>0.41428571428571431</v>
      </c>
    </row>
    <row r="97" spans="1:12" ht="31.5">
      <c r="A97" s="557">
        <v>17</v>
      </c>
      <c r="B97" s="556" t="s">
        <v>1613</v>
      </c>
      <c r="C97" s="558"/>
      <c r="D97" s="559"/>
      <c r="E97" s="1398"/>
      <c r="F97" s="560"/>
    </row>
    <row r="98" spans="1:12" ht="24.75">
      <c r="A98" s="548"/>
      <c r="B98" s="296" t="s">
        <v>2898</v>
      </c>
      <c r="C98" s="273" t="s">
        <v>733</v>
      </c>
      <c r="D98" s="298">
        <v>211</v>
      </c>
      <c r="E98" s="1396">
        <f t="shared" ref="E98:E103" si="21">D98</f>
        <v>211</v>
      </c>
      <c r="F98" s="543"/>
      <c r="K98" s="1492">
        <v>425</v>
      </c>
      <c r="L98" s="1491">
        <f>(K98-E98)/K98</f>
        <v>0.50352941176470589</v>
      </c>
    </row>
    <row r="99" spans="1:12" ht="24.75">
      <c r="A99" s="548"/>
      <c r="B99" s="296" t="s">
        <v>2899</v>
      </c>
      <c r="C99" s="273" t="s">
        <v>733</v>
      </c>
      <c r="D99" s="298">
        <v>286</v>
      </c>
      <c r="E99" s="1396">
        <f t="shared" si="21"/>
        <v>286</v>
      </c>
      <c r="F99" s="543"/>
      <c r="K99" s="1492">
        <v>545</v>
      </c>
      <c r="L99" s="1491">
        <f t="shared" ref="L99:L103" si="22">(K99-E99)/K99</f>
        <v>0.47522935779816516</v>
      </c>
    </row>
    <row r="100" spans="1:12" ht="24.75">
      <c r="A100" s="548"/>
      <c r="B100" s="296" t="s">
        <v>2900</v>
      </c>
      <c r="C100" s="273" t="s">
        <v>733</v>
      </c>
      <c r="D100" s="298">
        <v>372</v>
      </c>
      <c r="E100" s="1396">
        <f t="shared" si="21"/>
        <v>372</v>
      </c>
      <c r="F100" s="543"/>
      <c r="K100" s="1492">
        <v>1110</v>
      </c>
      <c r="L100" s="1491">
        <f t="shared" si="22"/>
        <v>0.66486486486486485</v>
      </c>
    </row>
    <row r="101" spans="1:12" ht="24.75">
      <c r="A101" s="548"/>
      <c r="B101" s="296" t="s">
        <v>2901</v>
      </c>
      <c r="C101" s="273" t="s">
        <v>733</v>
      </c>
      <c r="D101" s="298">
        <v>977</v>
      </c>
      <c r="E101" s="1396">
        <f t="shared" si="21"/>
        <v>977</v>
      </c>
      <c r="F101" s="543"/>
      <c r="K101" s="1492">
        <v>1940</v>
      </c>
      <c r="L101" s="1491">
        <f t="shared" si="22"/>
        <v>0.4963917525773196</v>
      </c>
    </row>
    <row r="102" spans="1:12" ht="24.75">
      <c r="A102" s="548"/>
      <c r="B102" s="296" t="s">
        <v>2902</v>
      </c>
      <c r="C102" s="273" t="s">
        <v>733</v>
      </c>
      <c r="D102" s="298">
        <v>1071</v>
      </c>
      <c r="E102" s="1396">
        <f t="shared" si="21"/>
        <v>1071</v>
      </c>
      <c r="F102" s="543"/>
      <c r="K102" s="1492">
        <v>2410</v>
      </c>
      <c r="L102" s="1491">
        <f t="shared" si="22"/>
        <v>0.55560165975103737</v>
      </c>
    </row>
    <row r="103" spans="1:12" ht="24.75">
      <c r="A103" s="548"/>
      <c r="B103" s="296" t="s">
        <v>2903</v>
      </c>
      <c r="C103" s="273" t="s">
        <v>733</v>
      </c>
      <c r="D103" s="298">
        <v>2093</v>
      </c>
      <c r="E103" s="1396">
        <f t="shared" si="21"/>
        <v>2093</v>
      </c>
      <c r="F103" s="543"/>
      <c r="K103" s="1492">
        <v>3950</v>
      </c>
      <c r="L103" s="1491">
        <f t="shared" si="22"/>
        <v>0.47012658227848103</v>
      </c>
    </row>
    <row r="104" spans="1:12" ht="24.75">
      <c r="A104" s="550">
        <v>18</v>
      </c>
      <c r="B104" s="556" t="s">
        <v>1614</v>
      </c>
      <c r="C104" s="554"/>
      <c r="D104" s="555"/>
      <c r="E104" s="1397"/>
      <c r="F104" s="553"/>
    </row>
    <row r="105" spans="1:12" ht="24.75">
      <c r="A105" s="548"/>
      <c r="B105" s="296" t="s">
        <v>2898</v>
      </c>
      <c r="C105" s="273" t="s">
        <v>733</v>
      </c>
      <c r="D105" s="298">
        <v>13</v>
      </c>
      <c r="E105" s="1396">
        <f t="shared" ref="E105:E110" si="23">D105</f>
        <v>13</v>
      </c>
      <c r="F105" s="543"/>
      <c r="K105" s="1490">
        <v>25</v>
      </c>
      <c r="L105" s="1491">
        <f>(K105-E105)/K105</f>
        <v>0.48</v>
      </c>
    </row>
    <row r="106" spans="1:12" ht="24.75">
      <c r="A106" s="548"/>
      <c r="B106" s="296" t="s">
        <v>2899</v>
      </c>
      <c r="C106" s="273" t="s">
        <v>733</v>
      </c>
      <c r="D106" s="298">
        <v>26</v>
      </c>
      <c r="E106" s="1396">
        <f t="shared" si="23"/>
        <v>26</v>
      </c>
      <c r="F106" s="543"/>
      <c r="K106" s="1490">
        <v>32</v>
      </c>
      <c r="L106" s="1491">
        <f t="shared" ref="L106:L110" si="24">(K106-E106)/K106</f>
        <v>0.1875</v>
      </c>
    </row>
    <row r="107" spans="1:12" ht="24.75">
      <c r="A107" s="548"/>
      <c r="B107" s="296" t="s">
        <v>2900</v>
      </c>
      <c r="C107" s="273" t="s">
        <v>733</v>
      </c>
      <c r="D107" s="298">
        <v>39</v>
      </c>
      <c r="E107" s="1396">
        <f t="shared" si="23"/>
        <v>39</v>
      </c>
      <c r="F107" s="543"/>
      <c r="K107" s="1490">
        <v>48</v>
      </c>
      <c r="L107" s="1491">
        <f t="shared" si="24"/>
        <v>0.1875</v>
      </c>
    </row>
    <row r="108" spans="1:12" ht="24.75">
      <c r="A108" s="548"/>
      <c r="B108" s="296" t="s">
        <v>2901</v>
      </c>
      <c r="C108" s="273" t="s">
        <v>733</v>
      </c>
      <c r="D108" s="298">
        <v>76</v>
      </c>
      <c r="E108" s="1396">
        <f t="shared" si="23"/>
        <v>76</v>
      </c>
      <c r="F108" s="543"/>
      <c r="K108" s="1490">
        <v>100</v>
      </c>
      <c r="L108" s="1491">
        <f t="shared" si="24"/>
        <v>0.24</v>
      </c>
    </row>
    <row r="109" spans="1:12" ht="24.75">
      <c r="A109" s="548"/>
      <c r="B109" s="296" t="s">
        <v>2902</v>
      </c>
      <c r="C109" s="273" t="s">
        <v>733</v>
      </c>
      <c r="D109" s="298">
        <v>113</v>
      </c>
      <c r="E109" s="1396">
        <f t="shared" si="23"/>
        <v>113</v>
      </c>
      <c r="F109" s="543"/>
      <c r="K109" s="1490">
        <v>155</v>
      </c>
      <c r="L109" s="1491">
        <f t="shared" si="24"/>
        <v>0.2709677419354839</v>
      </c>
    </row>
    <row r="110" spans="1:12" ht="24.75">
      <c r="A110" s="548"/>
      <c r="B110" s="296" t="s">
        <v>2903</v>
      </c>
      <c r="C110" s="273" t="s">
        <v>733</v>
      </c>
      <c r="D110" s="298">
        <v>239</v>
      </c>
      <c r="E110" s="1396">
        <f t="shared" si="23"/>
        <v>239</v>
      </c>
      <c r="F110" s="543"/>
      <c r="K110" s="1490">
        <v>305</v>
      </c>
      <c r="L110" s="1491">
        <f t="shared" si="24"/>
        <v>0.21639344262295082</v>
      </c>
    </row>
    <row r="111" spans="1:12" ht="24.75">
      <c r="A111" s="550">
        <v>19</v>
      </c>
      <c r="B111" s="556" t="s">
        <v>1615</v>
      </c>
      <c r="C111" s="554"/>
      <c r="D111" s="555"/>
      <c r="E111" s="1397"/>
      <c r="F111" s="553"/>
    </row>
    <row r="112" spans="1:12" ht="24.75">
      <c r="A112" s="548"/>
      <c r="B112" s="296" t="s">
        <v>2898</v>
      </c>
      <c r="C112" s="273" t="s">
        <v>733</v>
      </c>
      <c r="D112" s="298">
        <v>287</v>
      </c>
      <c r="E112" s="1557">
        <f>K112</f>
        <v>195</v>
      </c>
      <c r="F112" s="543"/>
      <c r="K112" s="1490">
        <v>195</v>
      </c>
      <c r="L112" s="1491">
        <f>(K112-E112)/K112</f>
        <v>0</v>
      </c>
    </row>
    <row r="113" spans="1:12" ht="24.75">
      <c r="A113" s="548"/>
      <c r="B113" s="296" t="s">
        <v>2899</v>
      </c>
      <c r="C113" s="273" t="s">
        <v>733</v>
      </c>
      <c r="D113" s="298">
        <v>424</v>
      </c>
      <c r="E113" s="1557">
        <f t="shared" ref="E113:E117" si="25">K113</f>
        <v>305</v>
      </c>
      <c r="F113" s="543"/>
      <c r="K113" s="1490">
        <v>305</v>
      </c>
      <c r="L113" s="1491">
        <f t="shared" ref="L113:L117" si="26">(K113-E113)/K113</f>
        <v>0</v>
      </c>
    </row>
    <row r="114" spans="1:12" ht="24.75">
      <c r="A114" s="548"/>
      <c r="B114" s="296" t="s">
        <v>2900</v>
      </c>
      <c r="C114" s="273" t="s">
        <v>733</v>
      </c>
      <c r="D114" s="298">
        <v>502</v>
      </c>
      <c r="E114" s="1557">
        <f t="shared" si="25"/>
        <v>375</v>
      </c>
      <c r="F114" s="543"/>
      <c r="K114" s="1490">
        <v>375</v>
      </c>
      <c r="L114" s="1491">
        <f t="shared" si="26"/>
        <v>0</v>
      </c>
    </row>
    <row r="115" spans="1:12" ht="24.75">
      <c r="A115" s="548"/>
      <c r="B115" s="296" t="s">
        <v>2901</v>
      </c>
      <c r="C115" s="273" t="s">
        <v>733</v>
      </c>
      <c r="D115" s="298">
        <v>919</v>
      </c>
      <c r="E115" s="1557">
        <f t="shared" si="25"/>
        <v>560</v>
      </c>
      <c r="F115" s="543"/>
      <c r="K115" s="1490">
        <v>560</v>
      </c>
      <c r="L115" s="1491">
        <f t="shared" si="26"/>
        <v>0</v>
      </c>
    </row>
    <row r="116" spans="1:12" ht="24.75">
      <c r="A116" s="548"/>
      <c r="B116" s="296" t="s">
        <v>2902</v>
      </c>
      <c r="C116" s="273" t="s">
        <v>733</v>
      </c>
      <c r="D116" s="298">
        <v>1004</v>
      </c>
      <c r="E116" s="1557">
        <f t="shared" si="25"/>
        <v>820</v>
      </c>
      <c r="F116" s="543"/>
      <c r="K116" s="1490">
        <v>820</v>
      </c>
      <c r="L116" s="1491">
        <f t="shared" si="26"/>
        <v>0</v>
      </c>
    </row>
    <row r="117" spans="1:12" ht="24.75">
      <c r="A117" s="548"/>
      <c r="B117" s="296" t="s">
        <v>2903</v>
      </c>
      <c r="C117" s="273" t="s">
        <v>733</v>
      </c>
      <c r="D117" s="298">
        <v>1419</v>
      </c>
      <c r="E117" s="1557">
        <f t="shared" si="25"/>
        <v>1310</v>
      </c>
      <c r="F117" s="543"/>
      <c r="K117" s="1490">
        <v>1310</v>
      </c>
      <c r="L117" s="1491">
        <f t="shared" si="26"/>
        <v>0</v>
      </c>
    </row>
    <row r="118" spans="1:12" ht="24.75">
      <c r="A118" s="550">
        <v>20</v>
      </c>
      <c r="B118" s="556" t="s">
        <v>1616</v>
      </c>
      <c r="C118" s="554"/>
      <c r="D118" s="555"/>
      <c r="E118" s="1397"/>
      <c r="F118" s="553"/>
    </row>
    <row r="119" spans="1:12" ht="24.75">
      <c r="A119" s="548"/>
      <c r="B119" s="296" t="s">
        <v>2898</v>
      </c>
      <c r="C119" s="273" t="s">
        <v>733</v>
      </c>
      <c r="D119" s="298">
        <v>52</v>
      </c>
      <c r="E119" s="1396">
        <f t="shared" ref="E119:E120" si="27">D119</f>
        <v>52</v>
      </c>
      <c r="F119" s="543"/>
      <c r="K119" s="1490">
        <v>97</v>
      </c>
      <c r="L119" s="1491">
        <f t="shared" ref="L119:L120" si="28">(K119-E119)/K119</f>
        <v>0.46391752577319589</v>
      </c>
    </row>
    <row r="120" spans="1:12" ht="24.75">
      <c r="A120" s="548"/>
      <c r="B120" s="296" t="s">
        <v>2899</v>
      </c>
      <c r="C120" s="273" t="s">
        <v>733</v>
      </c>
      <c r="D120" s="298">
        <v>113</v>
      </c>
      <c r="E120" s="1396">
        <f t="shared" si="27"/>
        <v>113</v>
      </c>
      <c r="F120" s="543"/>
      <c r="K120" s="1490">
        <v>160</v>
      </c>
      <c r="L120" s="1491">
        <f t="shared" si="28"/>
        <v>0.29375000000000001</v>
      </c>
    </row>
    <row r="121" spans="1:12" ht="24.75">
      <c r="A121" s="550">
        <v>21</v>
      </c>
      <c r="B121" s="556" t="s">
        <v>1617</v>
      </c>
      <c r="C121" s="554"/>
      <c r="D121" s="555"/>
      <c r="E121" s="1397"/>
      <c r="F121" s="553"/>
    </row>
    <row r="122" spans="1:12" ht="24.75">
      <c r="A122" s="548"/>
      <c r="B122" s="296" t="s">
        <v>2898</v>
      </c>
      <c r="C122" s="273" t="s">
        <v>733</v>
      </c>
      <c r="D122" s="298">
        <v>67</v>
      </c>
      <c r="E122" s="1396">
        <f t="shared" ref="E122:E123" si="29">D122</f>
        <v>67</v>
      </c>
      <c r="F122" s="543"/>
      <c r="K122" s="1490">
        <v>190</v>
      </c>
      <c r="L122" s="1491">
        <f t="shared" ref="L122:L123" si="30">(K122-E122)/K122</f>
        <v>0.64736842105263159</v>
      </c>
    </row>
    <row r="123" spans="1:12" ht="24.75">
      <c r="A123" s="548"/>
      <c r="B123" s="296" t="s">
        <v>2899</v>
      </c>
      <c r="C123" s="273" t="s">
        <v>733</v>
      </c>
      <c r="D123" s="298">
        <v>110</v>
      </c>
      <c r="E123" s="1396">
        <f t="shared" si="29"/>
        <v>110</v>
      </c>
      <c r="F123" s="543"/>
      <c r="K123" s="1490">
        <v>250</v>
      </c>
      <c r="L123" s="1491">
        <f t="shared" si="30"/>
        <v>0.56000000000000005</v>
      </c>
    </row>
    <row r="124" spans="1:12" ht="24.75">
      <c r="A124" s="550">
        <v>22</v>
      </c>
      <c r="B124" s="556" t="s">
        <v>1946</v>
      </c>
      <c r="C124" s="554"/>
      <c r="D124" s="555"/>
      <c r="E124" s="1397"/>
      <c r="F124" s="553"/>
    </row>
    <row r="125" spans="1:12" ht="24.75">
      <c r="A125" s="548"/>
      <c r="B125" s="296" t="s">
        <v>2898</v>
      </c>
      <c r="C125" s="297" t="s">
        <v>733</v>
      </c>
      <c r="D125" s="299">
        <v>704</v>
      </c>
      <c r="E125" s="1396">
        <f t="shared" ref="E125:E130" si="31">D125</f>
        <v>704</v>
      </c>
      <c r="F125" s="543"/>
    </row>
    <row r="126" spans="1:12" ht="24.75">
      <c r="A126" s="548"/>
      <c r="B126" s="296" t="s">
        <v>2899</v>
      </c>
      <c r="C126" s="297" t="s">
        <v>733</v>
      </c>
      <c r="D126" s="299">
        <v>858</v>
      </c>
      <c r="E126" s="1396">
        <f t="shared" si="31"/>
        <v>858</v>
      </c>
      <c r="F126" s="543"/>
    </row>
    <row r="127" spans="1:12" ht="24.75">
      <c r="A127" s="548"/>
      <c r="B127" s="296" t="s">
        <v>2900</v>
      </c>
      <c r="C127" s="297" t="s">
        <v>733</v>
      </c>
      <c r="D127" s="299">
        <v>981</v>
      </c>
      <c r="E127" s="1396">
        <f t="shared" si="31"/>
        <v>981</v>
      </c>
      <c r="F127" s="543"/>
    </row>
    <row r="128" spans="1:12" ht="24.75">
      <c r="A128" s="548"/>
      <c r="B128" s="296" t="s">
        <v>2901</v>
      </c>
      <c r="C128" s="297" t="s">
        <v>733</v>
      </c>
      <c r="D128" s="299">
        <v>1972</v>
      </c>
      <c r="E128" s="1396">
        <f t="shared" si="31"/>
        <v>1972</v>
      </c>
      <c r="F128" s="543"/>
    </row>
    <row r="129" spans="1:12" ht="24.75">
      <c r="A129" s="548"/>
      <c r="B129" s="296" t="s">
        <v>2902</v>
      </c>
      <c r="C129" s="297" t="s">
        <v>733</v>
      </c>
      <c r="D129" s="299">
        <v>2510</v>
      </c>
      <c r="E129" s="1396">
        <f t="shared" si="31"/>
        <v>2510</v>
      </c>
      <c r="F129" s="543"/>
    </row>
    <row r="130" spans="1:12" ht="24.75">
      <c r="A130" s="548"/>
      <c r="B130" s="296" t="s">
        <v>2903</v>
      </c>
      <c r="C130" s="297" t="s">
        <v>733</v>
      </c>
      <c r="D130" s="299">
        <v>3228</v>
      </c>
      <c r="E130" s="1396">
        <f t="shared" si="31"/>
        <v>3228</v>
      </c>
      <c r="F130" s="543"/>
    </row>
    <row r="131" spans="1:12" ht="24.75">
      <c r="A131" s="550">
        <v>23</v>
      </c>
      <c r="B131" s="556" t="s">
        <v>1618</v>
      </c>
      <c r="C131" s="554"/>
      <c r="D131" s="555"/>
      <c r="E131" s="1397"/>
      <c r="F131" s="553"/>
    </row>
    <row r="132" spans="1:12" ht="24.75">
      <c r="A132" s="548"/>
      <c r="B132" s="294" t="s">
        <v>1621</v>
      </c>
      <c r="C132" s="273" t="s">
        <v>733</v>
      </c>
      <c r="D132" s="298">
        <v>212</v>
      </c>
      <c r="E132" s="1396">
        <f t="shared" ref="E132:E136" si="32">D132</f>
        <v>212</v>
      </c>
      <c r="F132" s="543"/>
      <c r="K132" s="1490">
        <v>350</v>
      </c>
      <c r="L132" s="1491">
        <f t="shared" ref="L132:L134" si="33">(K132-E132)/K132</f>
        <v>0.39428571428571429</v>
      </c>
    </row>
    <row r="133" spans="1:12" ht="24.75">
      <c r="A133" s="548"/>
      <c r="B133" s="294" t="s">
        <v>1622</v>
      </c>
      <c r="C133" s="273" t="s">
        <v>733</v>
      </c>
      <c r="D133" s="298">
        <v>350</v>
      </c>
      <c r="E133" s="1396">
        <f t="shared" si="32"/>
        <v>350</v>
      </c>
      <c r="F133" s="543"/>
      <c r="K133" s="1490">
        <v>620</v>
      </c>
      <c r="L133" s="1491">
        <f t="shared" si="33"/>
        <v>0.43548387096774194</v>
      </c>
    </row>
    <row r="134" spans="1:12" ht="24.75">
      <c r="A134" s="548"/>
      <c r="B134" s="294" t="s">
        <v>1620</v>
      </c>
      <c r="C134" s="273" t="s">
        <v>733</v>
      </c>
      <c r="D134" s="298">
        <v>568</v>
      </c>
      <c r="E134" s="1396">
        <f t="shared" si="32"/>
        <v>568</v>
      </c>
      <c r="F134" s="543"/>
      <c r="K134" s="1490">
        <v>1050</v>
      </c>
      <c r="L134" s="1491">
        <f t="shared" si="33"/>
        <v>0.45904761904761904</v>
      </c>
    </row>
    <row r="135" spans="1:12" ht="24.75">
      <c r="A135" s="548"/>
      <c r="B135" s="294" t="s">
        <v>1619</v>
      </c>
      <c r="C135" s="273" t="s">
        <v>733</v>
      </c>
      <c r="D135" s="298">
        <v>893</v>
      </c>
      <c r="E135" s="1396">
        <f t="shared" si="32"/>
        <v>893</v>
      </c>
      <c r="F135" s="543"/>
    </row>
    <row r="136" spans="1:12" ht="24.75">
      <c r="A136" s="548"/>
      <c r="B136" s="294" t="s">
        <v>1623</v>
      </c>
      <c r="C136" s="273" t="s">
        <v>733</v>
      </c>
      <c r="D136" s="298">
        <v>1544</v>
      </c>
      <c r="E136" s="1396">
        <f t="shared" si="32"/>
        <v>1544</v>
      </c>
      <c r="F136" s="543"/>
    </row>
    <row r="137" spans="1:12" ht="24.75">
      <c r="A137" s="550">
        <v>24</v>
      </c>
      <c r="B137" s="556" t="s">
        <v>1624</v>
      </c>
      <c r="C137" s="554"/>
      <c r="D137" s="555"/>
      <c r="E137" s="1397"/>
      <c r="F137" s="553"/>
    </row>
    <row r="138" spans="1:12" ht="24.75">
      <c r="A138" s="548"/>
      <c r="B138" s="296" t="s">
        <v>2898</v>
      </c>
      <c r="C138" s="273" t="s">
        <v>733</v>
      </c>
      <c r="D138" s="298">
        <v>5</v>
      </c>
      <c r="E138" s="1396">
        <f t="shared" ref="E138:E143" si="34">D138</f>
        <v>5</v>
      </c>
      <c r="F138" s="543"/>
    </row>
    <row r="139" spans="1:12" ht="24.75">
      <c r="A139" s="548"/>
      <c r="B139" s="296" t="s">
        <v>2899</v>
      </c>
      <c r="C139" s="273" t="s">
        <v>733</v>
      </c>
      <c r="D139" s="298">
        <v>5</v>
      </c>
      <c r="E139" s="1396">
        <f t="shared" si="34"/>
        <v>5</v>
      </c>
      <c r="F139" s="543"/>
    </row>
    <row r="140" spans="1:12" ht="24.75">
      <c r="A140" s="548"/>
      <c r="B140" s="296" t="s">
        <v>2900</v>
      </c>
      <c r="C140" s="273" t="s">
        <v>733</v>
      </c>
      <c r="D140" s="298">
        <v>8</v>
      </c>
      <c r="E140" s="1396">
        <f t="shared" si="34"/>
        <v>8</v>
      </c>
      <c r="F140" s="543"/>
    </row>
    <row r="141" spans="1:12" ht="24.75">
      <c r="A141" s="548"/>
      <c r="B141" s="296" t="s">
        <v>2901</v>
      </c>
      <c r="C141" s="273" t="s">
        <v>733</v>
      </c>
      <c r="D141" s="298">
        <v>11</v>
      </c>
      <c r="E141" s="1396">
        <f t="shared" si="34"/>
        <v>11</v>
      </c>
      <c r="F141" s="543"/>
    </row>
    <row r="142" spans="1:12" ht="24.75">
      <c r="A142" s="548"/>
      <c r="B142" s="296" t="s">
        <v>2902</v>
      </c>
      <c r="C142" s="273" t="s">
        <v>733</v>
      </c>
      <c r="D142" s="298">
        <v>15</v>
      </c>
      <c r="E142" s="1396">
        <f t="shared" si="34"/>
        <v>15</v>
      </c>
      <c r="F142" s="543"/>
    </row>
    <row r="143" spans="1:12" ht="24.75">
      <c r="A143" s="548"/>
      <c r="B143" s="296" t="s">
        <v>2903</v>
      </c>
      <c r="C143" s="273" t="s">
        <v>733</v>
      </c>
      <c r="D143" s="298">
        <v>19</v>
      </c>
      <c r="E143" s="1396">
        <f t="shared" si="34"/>
        <v>19</v>
      </c>
      <c r="F143" s="543"/>
    </row>
    <row r="144" spans="1:12" ht="22.15" customHeight="1">
      <c r="A144" s="550">
        <v>25</v>
      </c>
      <c r="B144" s="556" t="s">
        <v>1625</v>
      </c>
      <c r="C144" s="554"/>
      <c r="D144" s="555"/>
      <c r="E144" s="1397"/>
      <c r="F144" s="553"/>
    </row>
    <row r="145" spans="1:12" ht="24.75">
      <c r="A145" s="548"/>
      <c r="B145" s="296" t="s">
        <v>2898</v>
      </c>
      <c r="C145" s="273" t="s">
        <v>733</v>
      </c>
      <c r="D145" s="298">
        <v>13</v>
      </c>
      <c r="E145" s="1396">
        <f t="shared" ref="E145:E150" si="35">D145</f>
        <v>13</v>
      </c>
      <c r="F145" s="543"/>
    </row>
    <row r="146" spans="1:12" ht="24.75">
      <c r="A146" s="548"/>
      <c r="B146" s="296" t="s">
        <v>2899</v>
      </c>
      <c r="C146" s="273" t="s">
        <v>733</v>
      </c>
      <c r="D146" s="298">
        <v>17</v>
      </c>
      <c r="E146" s="1396">
        <f t="shared" si="35"/>
        <v>17</v>
      </c>
      <c r="F146" s="543"/>
    </row>
    <row r="147" spans="1:12" ht="24.75">
      <c r="A147" s="548"/>
      <c r="B147" s="296" t="s">
        <v>2900</v>
      </c>
      <c r="C147" s="273" t="s">
        <v>733</v>
      </c>
      <c r="D147" s="298">
        <v>22</v>
      </c>
      <c r="E147" s="1396">
        <f t="shared" si="35"/>
        <v>22</v>
      </c>
      <c r="F147" s="543"/>
    </row>
    <row r="148" spans="1:12" ht="24.75">
      <c r="A148" s="548"/>
      <c r="B148" s="296" t="s">
        <v>2901</v>
      </c>
      <c r="C148" s="273" t="s">
        <v>733</v>
      </c>
      <c r="D148" s="298">
        <v>26</v>
      </c>
      <c r="E148" s="1396">
        <f t="shared" si="35"/>
        <v>26</v>
      </c>
      <c r="F148" s="543"/>
    </row>
    <row r="149" spans="1:12" ht="24.75">
      <c r="A149" s="548"/>
      <c r="B149" s="296" t="s">
        <v>2902</v>
      </c>
      <c r="C149" s="273" t="s">
        <v>733</v>
      </c>
      <c r="D149" s="298">
        <v>28</v>
      </c>
      <c r="E149" s="1396">
        <f t="shared" si="35"/>
        <v>28</v>
      </c>
      <c r="F149" s="543"/>
    </row>
    <row r="150" spans="1:12" ht="24.75">
      <c r="A150" s="548"/>
      <c r="B150" s="296" t="s">
        <v>2903</v>
      </c>
      <c r="C150" s="273" t="s">
        <v>733</v>
      </c>
      <c r="D150" s="298">
        <v>30</v>
      </c>
      <c r="E150" s="1396">
        <f t="shared" si="35"/>
        <v>30</v>
      </c>
      <c r="F150" s="543"/>
    </row>
    <row r="151" spans="1:12" ht="24.75">
      <c r="A151" s="550">
        <v>26</v>
      </c>
      <c r="B151" s="556" t="s">
        <v>1626</v>
      </c>
      <c r="C151" s="554"/>
      <c r="D151" s="555"/>
      <c r="E151" s="1397"/>
      <c r="F151" s="553"/>
    </row>
    <row r="152" spans="1:12" ht="24.75">
      <c r="A152" s="548"/>
      <c r="B152" s="294" t="s">
        <v>1596</v>
      </c>
      <c r="C152" s="273" t="s">
        <v>733</v>
      </c>
      <c r="D152" s="298">
        <v>5</v>
      </c>
      <c r="E152" s="1396">
        <f t="shared" ref="E152:E153" si="36">D152</f>
        <v>5</v>
      </c>
      <c r="F152" s="543"/>
      <c r="K152" s="1490">
        <v>15</v>
      </c>
      <c r="L152" s="1491">
        <f t="shared" ref="L152:L153" si="37">(K152-E152)/K152</f>
        <v>0.66666666666666663</v>
      </c>
    </row>
    <row r="153" spans="1:12" ht="24.75">
      <c r="A153" s="548"/>
      <c r="B153" s="294" t="s">
        <v>1627</v>
      </c>
      <c r="C153" s="273" t="s">
        <v>733</v>
      </c>
      <c r="D153" s="298">
        <v>8</v>
      </c>
      <c r="E153" s="1396">
        <f t="shared" si="36"/>
        <v>8</v>
      </c>
      <c r="F153" s="543"/>
      <c r="K153" s="1490">
        <v>18</v>
      </c>
      <c r="L153" s="1491">
        <f t="shared" si="37"/>
        <v>0.55555555555555558</v>
      </c>
    </row>
    <row r="154" spans="1:12" ht="24.75">
      <c r="A154" s="550">
        <v>27</v>
      </c>
      <c r="B154" s="556" t="s">
        <v>1628</v>
      </c>
      <c r="C154" s="554"/>
      <c r="D154" s="555"/>
      <c r="E154" s="1397"/>
      <c r="F154" s="553"/>
    </row>
    <row r="155" spans="1:12" ht="24.75">
      <c r="A155" s="548"/>
      <c r="B155" s="294" t="s">
        <v>1629</v>
      </c>
      <c r="C155" s="273" t="s">
        <v>733</v>
      </c>
      <c r="D155" s="298">
        <v>5</v>
      </c>
      <c r="E155" s="1396">
        <f t="shared" ref="E155:E156" si="38">D155</f>
        <v>5</v>
      </c>
      <c r="F155" s="543"/>
    </row>
    <row r="156" spans="1:12" ht="24.75">
      <c r="A156" s="548"/>
      <c r="B156" s="294" t="s">
        <v>1630</v>
      </c>
      <c r="C156" s="273" t="s">
        <v>733</v>
      </c>
      <c r="D156" s="298">
        <v>7</v>
      </c>
      <c r="E156" s="1396">
        <f t="shared" si="38"/>
        <v>7</v>
      </c>
      <c r="F156" s="543"/>
    </row>
    <row r="157" spans="1:12" ht="24.75">
      <c r="A157" s="550">
        <v>28</v>
      </c>
      <c r="B157" s="556" t="s">
        <v>1631</v>
      </c>
      <c r="C157" s="554"/>
      <c r="D157" s="555"/>
      <c r="E157" s="1397"/>
      <c r="F157" s="553"/>
    </row>
    <row r="158" spans="1:12" ht="24.75">
      <c r="A158" s="548"/>
      <c r="B158" s="296" t="s">
        <v>2898</v>
      </c>
      <c r="C158" s="273" t="s">
        <v>733</v>
      </c>
      <c r="D158" s="298">
        <v>244</v>
      </c>
      <c r="E158" s="1396">
        <f t="shared" ref="E158:E160" si="39">D158</f>
        <v>244</v>
      </c>
      <c r="F158" s="543"/>
    </row>
    <row r="159" spans="1:12" ht="24.75">
      <c r="A159" s="548"/>
      <c r="B159" s="296" t="s">
        <v>2899</v>
      </c>
      <c r="C159" s="273" t="s">
        <v>733</v>
      </c>
      <c r="D159" s="298">
        <v>264</v>
      </c>
      <c r="E159" s="1396">
        <f t="shared" si="39"/>
        <v>264</v>
      </c>
      <c r="F159" s="543"/>
    </row>
    <row r="160" spans="1:12" ht="25.5" thickBot="1">
      <c r="A160" s="561">
        <v>29</v>
      </c>
      <c r="B160" s="562" t="s">
        <v>1632</v>
      </c>
      <c r="C160" s="563" t="s">
        <v>733</v>
      </c>
      <c r="D160" s="564">
        <v>11</v>
      </c>
      <c r="E160" s="564">
        <f t="shared" si="39"/>
        <v>11</v>
      </c>
      <c r="F160" s="565"/>
    </row>
  </sheetData>
  <mergeCells count="1">
    <mergeCell ref="A1:F1"/>
  </mergeCells>
  <printOptions horizontalCentered="1"/>
  <pageMargins left="1.24" right="0.19" top="1.03" bottom="0.73" header="0.5" footer="0.56999999999999995"/>
  <pageSetup paperSize="9" scale="85"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3C160-2785-48A1-92D5-7C388E6C3FDE}">
  <sheetPr>
    <tabColor rgb="FF00B050"/>
    <pageSetUpPr fitToPage="1"/>
  </sheetPr>
  <dimension ref="A1:AD103"/>
  <sheetViews>
    <sheetView tabSelected="1" view="pageLayout" zoomScaleNormal="100" zoomScaleSheetLayoutView="100" workbookViewId="0">
      <selection activeCell="D24" sqref="D24"/>
    </sheetView>
  </sheetViews>
  <sheetFormatPr defaultColWidth="9.28515625" defaultRowHeight="12.75"/>
  <cols>
    <col min="1" max="1" width="6.7109375" style="5" customWidth="1"/>
    <col min="2" max="2" width="20.140625" style="5" customWidth="1"/>
    <col min="3" max="3" width="8.85546875" style="5" customWidth="1"/>
    <col min="4" max="4" width="10" style="5" customWidth="1"/>
    <col min="5" max="5" width="10.28515625" style="5" customWidth="1"/>
    <col min="6" max="6" width="10" style="5" customWidth="1"/>
    <col min="7" max="7" width="9.85546875" style="5" customWidth="1"/>
    <col min="8" max="8" width="10.28515625" style="5" customWidth="1"/>
    <col min="9" max="9" width="10" style="5" customWidth="1"/>
    <col min="10" max="10" width="9" style="5" customWidth="1"/>
    <col min="11" max="12" width="10" style="5" customWidth="1"/>
    <col min="13" max="13" width="7.7109375" style="5" customWidth="1"/>
    <col min="14" max="21" width="9.28515625" style="5" hidden="1" customWidth="1"/>
    <col min="22" max="22" width="10.7109375" style="5" hidden="1" customWidth="1"/>
    <col min="23" max="16384" width="9.28515625" style="5"/>
  </cols>
  <sheetData>
    <row r="1" spans="1:30" ht="43.15" customHeight="1" thickBot="1">
      <c r="A1" s="1606" t="s">
        <v>2974</v>
      </c>
      <c r="B1" s="1606"/>
      <c r="C1" s="1606"/>
      <c r="D1" s="1606"/>
      <c r="E1" s="1606"/>
      <c r="F1" s="1606"/>
      <c r="G1" s="1606"/>
      <c r="H1" s="1606"/>
      <c r="I1" s="1606"/>
      <c r="J1" s="1606"/>
      <c r="K1" s="1606"/>
      <c r="L1" s="1606"/>
      <c r="M1" s="1652"/>
      <c r="N1"/>
      <c r="O1"/>
      <c r="P1"/>
      <c r="Q1"/>
      <c r="R1"/>
      <c r="S1"/>
      <c r="T1"/>
      <c r="U1"/>
      <c r="V1"/>
      <c r="W1"/>
      <c r="X1"/>
      <c r="Y1"/>
      <c r="Z1"/>
      <c r="AA1"/>
      <c r="AB1"/>
      <c r="AC1"/>
      <c r="AD1"/>
    </row>
    <row r="2" spans="1:30" ht="24" thickBot="1">
      <c r="A2" s="674" t="s">
        <v>1876</v>
      </c>
      <c r="B2" s="676" t="s">
        <v>2181</v>
      </c>
      <c r="C2" s="826" t="s">
        <v>2154</v>
      </c>
      <c r="D2" s="673" t="s">
        <v>400</v>
      </c>
      <c r="E2" s="567" t="s">
        <v>401</v>
      </c>
      <c r="F2" s="567" t="s">
        <v>402</v>
      </c>
      <c r="G2" s="567" t="s">
        <v>403</v>
      </c>
      <c r="H2" s="567" t="s">
        <v>404</v>
      </c>
      <c r="I2" s="567" t="s">
        <v>405</v>
      </c>
      <c r="J2" s="567" t="s">
        <v>406</v>
      </c>
      <c r="K2" s="567" t="s">
        <v>407</v>
      </c>
      <c r="L2" s="568" t="s">
        <v>408</v>
      </c>
      <c r="M2" s="675" t="s">
        <v>1427</v>
      </c>
      <c r="N2"/>
      <c r="O2"/>
      <c r="P2"/>
      <c r="Q2"/>
      <c r="R2"/>
      <c r="S2"/>
      <c r="T2"/>
      <c r="U2"/>
      <c r="V2"/>
      <c r="W2"/>
      <c r="X2"/>
      <c r="Y2"/>
      <c r="Z2"/>
      <c r="AA2"/>
      <c r="AB2"/>
      <c r="AC2"/>
      <c r="AD2"/>
    </row>
    <row r="3" spans="1:30" ht="33" customHeight="1">
      <c r="A3" s="828">
        <v>1</v>
      </c>
      <c r="B3" s="1496" t="s">
        <v>1947</v>
      </c>
      <c r="C3" s="1069" t="s">
        <v>1787</v>
      </c>
      <c r="D3" s="829">
        <f>11*1.1</f>
        <v>12.100000000000001</v>
      </c>
      <c r="E3" s="829">
        <v>22</v>
      </c>
      <c r="F3" s="829">
        <v>37</v>
      </c>
      <c r="G3" s="829">
        <v>78</v>
      </c>
      <c r="H3" s="829">
        <v>130</v>
      </c>
      <c r="I3" s="829">
        <v>229</v>
      </c>
      <c r="J3" s="829">
        <v>430</v>
      </c>
      <c r="K3" s="829">
        <v>726</v>
      </c>
      <c r="L3" s="829">
        <v>1352</v>
      </c>
      <c r="M3" s="1070"/>
      <c r="N3"/>
      <c r="O3"/>
      <c r="P3"/>
      <c r="Q3"/>
      <c r="R3"/>
      <c r="S3"/>
      <c r="T3"/>
      <c r="U3"/>
      <c r="V3"/>
      <c r="W3"/>
      <c r="X3"/>
      <c r="Y3"/>
      <c r="Z3"/>
      <c r="AA3"/>
      <c r="AB3"/>
      <c r="AC3"/>
      <c r="AD3"/>
    </row>
    <row r="4" spans="1:30" ht="17.100000000000001" customHeight="1">
      <c r="A4" s="830">
        <v>2</v>
      </c>
      <c r="B4" s="1497" t="s">
        <v>1948</v>
      </c>
      <c r="C4" s="827" t="s">
        <v>1787</v>
      </c>
      <c r="D4" s="680">
        <v>15</v>
      </c>
      <c r="E4" s="680">
        <v>24</v>
      </c>
      <c r="F4" s="680">
        <v>38</v>
      </c>
      <c r="G4" s="680">
        <v>70</v>
      </c>
      <c r="H4" s="680">
        <v>118</v>
      </c>
      <c r="I4" s="680">
        <v>195</v>
      </c>
      <c r="J4" s="680">
        <v>382</v>
      </c>
      <c r="K4" s="680">
        <v>645</v>
      </c>
      <c r="L4" s="680">
        <v>1127</v>
      </c>
      <c r="M4" s="959"/>
      <c r="N4"/>
      <c r="O4"/>
      <c r="P4"/>
      <c r="Q4"/>
      <c r="R4"/>
      <c r="S4"/>
      <c r="T4"/>
      <c r="U4"/>
      <c r="V4"/>
      <c r="W4"/>
      <c r="X4"/>
      <c r="Y4"/>
      <c r="Z4"/>
      <c r="AA4"/>
      <c r="AB4"/>
      <c r="AC4"/>
      <c r="AD4"/>
    </row>
    <row r="5" spans="1:30" ht="17.100000000000001" customHeight="1">
      <c r="A5" s="830">
        <v>3</v>
      </c>
      <c r="B5" s="1497" t="s">
        <v>409</v>
      </c>
      <c r="C5" s="827" t="s">
        <v>1787</v>
      </c>
      <c r="D5" s="680">
        <v>15</v>
      </c>
      <c r="E5" s="680">
        <v>27</v>
      </c>
      <c r="F5" s="680">
        <v>46</v>
      </c>
      <c r="G5" s="680">
        <v>89</v>
      </c>
      <c r="H5" s="680">
        <v>151</v>
      </c>
      <c r="I5" s="680">
        <v>275</v>
      </c>
      <c r="J5" s="680">
        <v>478</v>
      </c>
      <c r="K5" s="680">
        <v>645</v>
      </c>
      <c r="L5" s="680">
        <v>1127</v>
      </c>
      <c r="M5" s="959"/>
      <c r="N5"/>
      <c r="O5"/>
      <c r="P5"/>
      <c r="Q5"/>
      <c r="R5"/>
      <c r="S5"/>
      <c r="T5"/>
      <c r="U5"/>
      <c r="V5"/>
      <c r="W5"/>
      <c r="X5"/>
      <c r="Y5"/>
      <c r="Z5"/>
      <c r="AA5"/>
      <c r="AB5"/>
      <c r="AC5"/>
      <c r="AD5"/>
    </row>
    <row r="6" spans="1:30" ht="17.100000000000001" customHeight="1">
      <c r="A6" s="830">
        <v>4</v>
      </c>
      <c r="B6" s="1497" t="s">
        <v>410</v>
      </c>
      <c r="C6" s="827" t="s">
        <v>1787</v>
      </c>
      <c r="D6" s="680">
        <v>9</v>
      </c>
      <c r="E6" s="680">
        <v>11</v>
      </c>
      <c r="F6" s="680">
        <v>22</v>
      </c>
      <c r="G6" s="680">
        <v>42</v>
      </c>
      <c r="H6" s="680">
        <v>70</v>
      </c>
      <c r="I6" s="680">
        <v>123</v>
      </c>
      <c r="J6" s="680">
        <v>239</v>
      </c>
      <c r="K6" s="680">
        <v>353</v>
      </c>
      <c r="L6" s="680">
        <v>1519</v>
      </c>
      <c r="M6" s="959"/>
      <c r="N6"/>
      <c r="O6"/>
      <c r="P6"/>
      <c r="Q6"/>
      <c r="R6"/>
      <c r="S6"/>
      <c r="T6"/>
      <c r="U6"/>
      <c r="V6"/>
      <c r="W6"/>
      <c r="X6"/>
      <c r="Y6"/>
      <c r="Z6"/>
      <c r="AA6"/>
      <c r="AB6"/>
      <c r="AC6"/>
      <c r="AD6"/>
    </row>
    <row r="7" spans="1:30" ht="17.100000000000001" customHeight="1">
      <c r="A7" s="830">
        <v>5</v>
      </c>
      <c r="B7" s="1497" t="s">
        <v>411</v>
      </c>
      <c r="C7" s="827" t="s">
        <v>1787</v>
      </c>
      <c r="D7" s="680">
        <v>12</v>
      </c>
      <c r="E7" s="680">
        <v>19</v>
      </c>
      <c r="F7" s="680">
        <v>29</v>
      </c>
      <c r="G7" s="680">
        <v>43</v>
      </c>
      <c r="H7" s="680">
        <v>76</v>
      </c>
      <c r="I7" s="680">
        <v>146</v>
      </c>
      <c r="J7" s="680">
        <v>234</v>
      </c>
      <c r="K7" s="677" t="s">
        <v>379</v>
      </c>
      <c r="L7" s="677" t="s">
        <v>379</v>
      </c>
      <c r="M7" s="959"/>
      <c r="N7"/>
      <c r="O7"/>
      <c r="P7"/>
      <c r="Q7"/>
      <c r="R7"/>
      <c r="S7"/>
      <c r="T7"/>
      <c r="U7"/>
      <c r="V7"/>
      <c r="W7"/>
      <c r="X7"/>
      <c r="Y7"/>
      <c r="Z7"/>
      <c r="AA7"/>
      <c r="AB7"/>
      <c r="AC7"/>
      <c r="AD7"/>
    </row>
    <row r="8" spans="1:30" ht="17.100000000000001" customHeight="1">
      <c r="A8" s="830">
        <v>6</v>
      </c>
      <c r="B8" s="1497" t="s">
        <v>412</v>
      </c>
      <c r="C8" s="827" t="s">
        <v>1787</v>
      </c>
      <c r="D8" s="680">
        <v>336</v>
      </c>
      <c r="E8" s="680">
        <v>406</v>
      </c>
      <c r="F8" s="680">
        <v>535</v>
      </c>
      <c r="G8" s="680">
        <v>573</v>
      </c>
      <c r="H8" s="680">
        <v>955</v>
      </c>
      <c r="I8" s="680">
        <v>1435</v>
      </c>
      <c r="J8" s="677" t="s">
        <v>379</v>
      </c>
      <c r="K8" s="677" t="s">
        <v>379</v>
      </c>
      <c r="L8" s="677" t="s">
        <v>379</v>
      </c>
      <c r="M8" s="959"/>
      <c r="N8"/>
      <c r="O8"/>
      <c r="P8"/>
      <c r="Q8"/>
      <c r="R8"/>
      <c r="S8"/>
      <c r="T8"/>
      <c r="U8"/>
      <c r="V8"/>
      <c r="W8"/>
      <c r="X8"/>
      <c r="Y8"/>
      <c r="Z8"/>
      <c r="AA8"/>
      <c r="AB8"/>
      <c r="AC8"/>
      <c r="AD8"/>
    </row>
    <row r="9" spans="1:30" ht="17.100000000000001" customHeight="1">
      <c r="A9" s="830">
        <v>7</v>
      </c>
      <c r="B9" s="1497" t="s">
        <v>413</v>
      </c>
      <c r="C9" s="827" t="s">
        <v>1787</v>
      </c>
      <c r="D9" s="680">
        <v>91</v>
      </c>
      <c r="E9" s="680">
        <v>124</v>
      </c>
      <c r="F9" s="680">
        <v>215</v>
      </c>
      <c r="G9" s="680">
        <v>458</v>
      </c>
      <c r="H9" s="680">
        <v>664</v>
      </c>
      <c r="I9" s="680">
        <v>1123</v>
      </c>
      <c r="J9" s="677" t="s">
        <v>379</v>
      </c>
      <c r="K9" s="677" t="s">
        <v>379</v>
      </c>
      <c r="L9" s="677" t="s">
        <v>379</v>
      </c>
      <c r="M9" s="959"/>
      <c r="N9"/>
      <c r="O9"/>
      <c r="P9"/>
      <c r="Q9"/>
      <c r="R9"/>
      <c r="S9"/>
      <c r="T9"/>
      <c r="U9"/>
      <c r="V9"/>
      <c r="W9"/>
      <c r="X9"/>
      <c r="Y9"/>
      <c r="Z9"/>
      <c r="AA9"/>
      <c r="AB9"/>
      <c r="AC9"/>
      <c r="AD9"/>
    </row>
    <row r="10" spans="1:30" ht="17.100000000000001" customHeight="1">
      <c r="A10" s="830">
        <v>8</v>
      </c>
      <c r="B10" s="1497" t="s">
        <v>414</v>
      </c>
      <c r="C10" s="827" t="s">
        <v>1787</v>
      </c>
      <c r="D10" s="680">
        <v>6</v>
      </c>
      <c r="E10" s="680">
        <v>7</v>
      </c>
      <c r="F10" s="680">
        <v>14</v>
      </c>
      <c r="G10" s="680">
        <v>19</v>
      </c>
      <c r="H10" s="680">
        <v>30</v>
      </c>
      <c r="I10" s="680">
        <v>38</v>
      </c>
      <c r="J10" s="677" t="s">
        <v>379</v>
      </c>
      <c r="K10" s="677" t="s">
        <v>379</v>
      </c>
      <c r="L10" s="677" t="s">
        <v>379</v>
      </c>
      <c r="M10" s="959"/>
      <c r="N10"/>
      <c r="O10"/>
      <c r="P10"/>
      <c r="Q10"/>
      <c r="R10"/>
      <c r="S10"/>
      <c r="T10"/>
      <c r="U10"/>
      <c r="V10"/>
      <c r="W10"/>
      <c r="X10"/>
      <c r="Y10"/>
      <c r="Z10"/>
      <c r="AA10"/>
      <c r="AB10"/>
      <c r="AC10"/>
      <c r="AD10"/>
    </row>
    <row r="11" spans="1:30" ht="17.100000000000001" customHeight="1">
      <c r="A11" s="830">
        <v>9</v>
      </c>
      <c r="B11" s="1497" t="s">
        <v>415</v>
      </c>
      <c r="C11" s="827" t="s">
        <v>1787</v>
      </c>
      <c r="D11" s="680">
        <v>12</v>
      </c>
      <c r="E11" s="680">
        <v>14</v>
      </c>
      <c r="F11" s="680">
        <v>22</v>
      </c>
      <c r="G11" s="680">
        <v>24</v>
      </c>
      <c r="H11" s="680">
        <v>27</v>
      </c>
      <c r="I11" s="680">
        <v>36</v>
      </c>
      <c r="J11" s="677" t="s">
        <v>379</v>
      </c>
      <c r="K11" s="677" t="s">
        <v>379</v>
      </c>
      <c r="L11" s="677" t="s">
        <v>379</v>
      </c>
      <c r="M11" s="959"/>
      <c r="N11"/>
      <c r="O11"/>
      <c r="P11"/>
      <c r="Q11"/>
      <c r="R11"/>
      <c r="S11"/>
      <c r="T11"/>
      <c r="U11"/>
      <c r="V11"/>
      <c r="W11"/>
      <c r="X11"/>
      <c r="Y11"/>
      <c r="Z11"/>
      <c r="AA11"/>
      <c r="AB11"/>
      <c r="AC11"/>
      <c r="AD11"/>
    </row>
    <row r="12" spans="1:30" ht="17.100000000000001" customHeight="1">
      <c r="A12" s="830">
        <v>10</v>
      </c>
      <c r="B12" s="1497" t="s">
        <v>416</v>
      </c>
      <c r="C12" s="827" t="s">
        <v>1787</v>
      </c>
      <c r="D12" s="680">
        <v>19</v>
      </c>
      <c r="E12" s="680">
        <v>22</v>
      </c>
      <c r="F12" s="680">
        <v>27</v>
      </c>
      <c r="G12" s="678" t="s">
        <v>379</v>
      </c>
      <c r="H12" s="678" t="s">
        <v>379</v>
      </c>
      <c r="I12" s="678" t="s">
        <v>379</v>
      </c>
      <c r="J12" s="677" t="s">
        <v>379</v>
      </c>
      <c r="K12" s="677" t="s">
        <v>379</v>
      </c>
      <c r="L12" s="677" t="s">
        <v>379</v>
      </c>
      <c r="M12" s="959"/>
      <c r="N12"/>
      <c r="O12"/>
      <c r="P12"/>
      <c r="Q12"/>
      <c r="R12"/>
      <c r="S12"/>
      <c r="T12"/>
      <c r="U12"/>
      <c r="V12"/>
      <c r="W12"/>
      <c r="X12"/>
      <c r="Y12"/>
      <c r="Z12"/>
      <c r="AA12"/>
      <c r="AB12"/>
      <c r="AC12"/>
      <c r="AD12"/>
    </row>
    <row r="13" spans="1:30" ht="17.100000000000001" customHeight="1">
      <c r="A13" s="830">
        <v>11</v>
      </c>
      <c r="B13" s="1497" t="s">
        <v>417</v>
      </c>
      <c r="C13" s="827" t="s">
        <v>1787</v>
      </c>
      <c r="D13" s="680">
        <v>57</v>
      </c>
      <c r="E13" s="680">
        <v>97</v>
      </c>
      <c r="F13" s="680">
        <v>157</v>
      </c>
      <c r="G13" s="680">
        <v>238</v>
      </c>
      <c r="H13" s="680">
        <v>373</v>
      </c>
      <c r="I13" s="680">
        <v>445</v>
      </c>
      <c r="J13" s="677" t="s">
        <v>379</v>
      </c>
      <c r="K13" s="677" t="s">
        <v>379</v>
      </c>
      <c r="L13" s="677" t="s">
        <v>379</v>
      </c>
      <c r="M13" s="959"/>
      <c r="N13"/>
      <c r="O13"/>
      <c r="P13"/>
      <c r="Q13"/>
      <c r="R13"/>
      <c r="S13"/>
      <c r="T13"/>
      <c r="U13"/>
      <c r="V13"/>
      <c r="W13"/>
      <c r="X13"/>
      <c r="Y13"/>
      <c r="Z13"/>
      <c r="AA13"/>
      <c r="AB13"/>
      <c r="AC13"/>
      <c r="AD13"/>
    </row>
    <row r="14" spans="1:30" ht="17.100000000000001" customHeight="1">
      <c r="A14" s="830">
        <v>12</v>
      </c>
      <c r="B14" s="1497" t="s">
        <v>418</v>
      </c>
      <c r="C14" s="827" t="s">
        <v>1787</v>
      </c>
      <c r="D14" s="680">
        <v>329</v>
      </c>
      <c r="E14" s="680">
        <v>406</v>
      </c>
      <c r="F14" s="680">
        <v>552</v>
      </c>
      <c r="G14" s="677">
        <v>912</v>
      </c>
      <c r="H14" s="677" t="s">
        <v>379</v>
      </c>
      <c r="I14" s="677" t="s">
        <v>379</v>
      </c>
      <c r="J14" s="677" t="s">
        <v>379</v>
      </c>
      <c r="K14" s="677" t="s">
        <v>379</v>
      </c>
      <c r="L14" s="677" t="s">
        <v>379</v>
      </c>
      <c r="M14" s="959"/>
      <c r="N14"/>
      <c r="O14"/>
      <c r="P14"/>
      <c r="Q14"/>
      <c r="R14"/>
      <c r="S14"/>
      <c r="T14"/>
      <c r="U14"/>
      <c r="V14"/>
      <c r="W14"/>
      <c r="X14"/>
      <c r="Y14"/>
      <c r="Z14"/>
      <c r="AA14"/>
      <c r="AB14"/>
      <c r="AC14"/>
      <c r="AD14"/>
    </row>
    <row r="15" spans="1:30" ht="17.100000000000001" customHeight="1">
      <c r="A15" s="830">
        <v>13</v>
      </c>
      <c r="B15" s="1497" t="s">
        <v>419</v>
      </c>
      <c r="C15" s="827" t="s">
        <v>1787</v>
      </c>
      <c r="D15" s="680">
        <v>73</v>
      </c>
      <c r="E15" s="680">
        <v>105</v>
      </c>
      <c r="F15" s="680">
        <v>163</v>
      </c>
      <c r="G15" s="677" t="s">
        <v>379</v>
      </c>
      <c r="H15" s="677" t="s">
        <v>379</v>
      </c>
      <c r="I15" s="677" t="s">
        <v>379</v>
      </c>
      <c r="J15" s="677" t="s">
        <v>379</v>
      </c>
      <c r="K15" s="677" t="s">
        <v>379</v>
      </c>
      <c r="L15" s="677" t="s">
        <v>379</v>
      </c>
      <c r="M15" s="959"/>
      <c r="N15"/>
      <c r="O15"/>
      <c r="P15"/>
      <c r="Q15"/>
      <c r="R15"/>
      <c r="S15"/>
      <c r="T15"/>
      <c r="U15"/>
      <c r="V15"/>
      <c r="W15"/>
      <c r="X15"/>
      <c r="Y15"/>
      <c r="Z15"/>
      <c r="AA15"/>
      <c r="AB15"/>
      <c r="AC15"/>
      <c r="AD15"/>
    </row>
    <row r="16" spans="1:30" ht="17.100000000000001" customHeight="1">
      <c r="A16" s="830">
        <v>14</v>
      </c>
      <c r="B16" s="1497" t="s">
        <v>420</v>
      </c>
      <c r="C16" s="827" t="s">
        <v>1787</v>
      </c>
      <c r="D16" s="680">
        <v>84</v>
      </c>
      <c r="E16" s="680">
        <v>138</v>
      </c>
      <c r="F16" s="680">
        <v>203</v>
      </c>
      <c r="G16" s="677" t="s">
        <v>379</v>
      </c>
      <c r="H16" s="677" t="s">
        <v>379</v>
      </c>
      <c r="I16" s="677" t="s">
        <v>379</v>
      </c>
      <c r="J16" s="677" t="s">
        <v>379</v>
      </c>
      <c r="K16" s="677" t="s">
        <v>379</v>
      </c>
      <c r="L16" s="677" t="s">
        <v>379</v>
      </c>
      <c r="M16" s="959"/>
      <c r="N16"/>
      <c r="O16"/>
      <c r="P16"/>
      <c r="Q16"/>
      <c r="R16"/>
      <c r="S16"/>
      <c r="T16"/>
      <c r="U16"/>
      <c r="V16"/>
      <c r="W16"/>
      <c r="X16"/>
      <c r="Y16"/>
      <c r="Z16"/>
      <c r="AA16"/>
      <c r="AB16"/>
      <c r="AC16"/>
      <c r="AD16"/>
    </row>
    <row r="17" spans="1:30" ht="17.100000000000001" customHeight="1">
      <c r="A17" s="830">
        <v>15</v>
      </c>
      <c r="B17" s="1497" t="s">
        <v>421</v>
      </c>
      <c r="C17" s="827" t="s">
        <v>1787</v>
      </c>
      <c r="D17" s="680">
        <v>25</v>
      </c>
      <c r="E17" s="680">
        <v>38</v>
      </c>
      <c r="F17" s="680">
        <v>65</v>
      </c>
      <c r="G17" s="677" t="s">
        <v>379</v>
      </c>
      <c r="H17" s="677" t="s">
        <v>379</v>
      </c>
      <c r="I17" s="677" t="s">
        <v>379</v>
      </c>
      <c r="J17" s="677" t="s">
        <v>379</v>
      </c>
      <c r="K17" s="677" t="s">
        <v>379</v>
      </c>
      <c r="L17" s="677" t="s">
        <v>379</v>
      </c>
      <c r="M17" s="959"/>
      <c r="N17"/>
      <c r="O17"/>
      <c r="P17"/>
      <c r="Q17"/>
      <c r="R17"/>
      <c r="S17"/>
      <c r="T17"/>
      <c r="U17"/>
      <c r="V17"/>
      <c r="W17"/>
      <c r="X17"/>
      <c r="Y17"/>
      <c r="Z17"/>
      <c r="AA17"/>
      <c r="AB17"/>
      <c r="AC17"/>
      <c r="AD17"/>
    </row>
    <row r="18" spans="1:30" ht="17.100000000000001" customHeight="1">
      <c r="A18" s="830">
        <v>16</v>
      </c>
      <c r="B18" s="1497" t="s">
        <v>422</v>
      </c>
      <c r="C18" s="827" t="s">
        <v>1787</v>
      </c>
      <c r="D18" s="680">
        <v>6</v>
      </c>
      <c r="E18" s="680">
        <v>18</v>
      </c>
      <c r="F18" s="680">
        <v>23</v>
      </c>
      <c r="G18" s="677" t="s">
        <v>379</v>
      </c>
      <c r="H18" s="677" t="s">
        <v>379</v>
      </c>
      <c r="I18" s="677" t="s">
        <v>379</v>
      </c>
      <c r="J18" s="677" t="s">
        <v>379</v>
      </c>
      <c r="K18" s="677" t="s">
        <v>379</v>
      </c>
      <c r="L18" s="677" t="s">
        <v>379</v>
      </c>
      <c r="M18" s="959"/>
      <c r="N18"/>
      <c r="O18"/>
      <c r="P18"/>
      <c r="Q18"/>
      <c r="R18"/>
      <c r="S18"/>
      <c r="T18"/>
      <c r="U18"/>
      <c r="V18"/>
      <c r="W18"/>
      <c r="X18"/>
      <c r="Y18"/>
      <c r="Z18"/>
      <c r="AA18"/>
      <c r="AB18"/>
      <c r="AC18"/>
      <c r="AD18"/>
    </row>
    <row r="19" spans="1:30" ht="17.100000000000001" customHeight="1">
      <c r="A19" s="830">
        <v>17</v>
      </c>
      <c r="B19" s="1497" t="s">
        <v>423</v>
      </c>
      <c r="C19" s="827" t="s">
        <v>1787</v>
      </c>
      <c r="D19" s="680">
        <v>9</v>
      </c>
      <c r="E19" s="677" t="s">
        <v>379</v>
      </c>
      <c r="F19" s="677" t="s">
        <v>379</v>
      </c>
      <c r="G19" s="677" t="s">
        <v>379</v>
      </c>
      <c r="H19" s="677" t="s">
        <v>379</v>
      </c>
      <c r="I19" s="677" t="s">
        <v>379</v>
      </c>
      <c r="J19" s="677" t="s">
        <v>379</v>
      </c>
      <c r="K19" s="677" t="s">
        <v>379</v>
      </c>
      <c r="L19" s="677" t="s">
        <v>379</v>
      </c>
      <c r="M19" s="959"/>
      <c r="N19"/>
      <c r="O19"/>
      <c r="P19"/>
      <c r="Q19"/>
      <c r="R19"/>
      <c r="S19"/>
      <c r="T19"/>
      <c r="U19"/>
      <c r="V19"/>
      <c r="W19"/>
      <c r="X19"/>
      <c r="Y19"/>
      <c r="Z19"/>
      <c r="AA19"/>
      <c r="AB19"/>
      <c r="AC19"/>
      <c r="AD19"/>
    </row>
    <row r="20" spans="1:30" ht="17.100000000000001" customHeight="1">
      <c r="A20" s="830">
        <v>18</v>
      </c>
      <c r="B20" s="1497" t="s">
        <v>424</v>
      </c>
      <c r="C20" s="827" t="s">
        <v>1787</v>
      </c>
      <c r="D20" s="680">
        <v>22</v>
      </c>
      <c r="E20" s="677" t="s">
        <v>379</v>
      </c>
      <c r="F20" s="677" t="s">
        <v>379</v>
      </c>
      <c r="G20" s="677" t="s">
        <v>379</v>
      </c>
      <c r="H20" s="677" t="s">
        <v>379</v>
      </c>
      <c r="I20" s="677" t="s">
        <v>379</v>
      </c>
      <c r="J20" s="677" t="s">
        <v>379</v>
      </c>
      <c r="K20" s="677" t="s">
        <v>379</v>
      </c>
      <c r="L20" s="677" t="s">
        <v>379</v>
      </c>
      <c r="M20" s="959"/>
      <c r="N20"/>
      <c r="O20"/>
      <c r="P20"/>
      <c r="Q20"/>
      <c r="R20"/>
      <c r="S20"/>
      <c r="T20"/>
      <c r="U20"/>
      <c r="V20"/>
      <c r="W20"/>
      <c r="X20"/>
      <c r="Y20"/>
      <c r="Z20"/>
      <c r="AA20"/>
      <c r="AB20"/>
      <c r="AC20"/>
      <c r="AD20"/>
    </row>
    <row r="21" spans="1:30" ht="31.5">
      <c r="A21" s="830">
        <v>19</v>
      </c>
      <c r="B21" s="1498" t="s">
        <v>425</v>
      </c>
      <c r="C21" s="827" t="s">
        <v>1787</v>
      </c>
      <c r="D21" s="680">
        <v>902</v>
      </c>
      <c r="E21" s="677" t="s">
        <v>379</v>
      </c>
      <c r="F21" s="677" t="s">
        <v>379</v>
      </c>
      <c r="G21" s="677" t="s">
        <v>379</v>
      </c>
      <c r="H21" s="677" t="s">
        <v>379</v>
      </c>
      <c r="I21" s="677" t="s">
        <v>379</v>
      </c>
      <c r="J21" s="677" t="s">
        <v>379</v>
      </c>
      <c r="K21" s="677" t="s">
        <v>379</v>
      </c>
      <c r="L21" s="677" t="s">
        <v>379</v>
      </c>
      <c r="M21" s="959"/>
      <c r="N21"/>
      <c r="O21"/>
      <c r="P21"/>
      <c r="Q21"/>
      <c r="R21"/>
      <c r="S21"/>
      <c r="T21"/>
      <c r="U21"/>
      <c r="V21"/>
      <c r="W21"/>
      <c r="X21"/>
      <c r="Y21"/>
      <c r="Z21"/>
      <c r="AA21"/>
      <c r="AB21"/>
      <c r="AC21"/>
      <c r="AD21"/>
    </row>
    <row r="22" spans="1:30" ht="31.5">
      <c r="A22" s="830">
        <v>20</v>
      </c>
      <c r="B22" s="313" t="s">
        <v>426</v>
      </c>
      <c r="C22" s="827" t="s">
        <v>1787</v>
      </c>
      <c r="D22" s="680">
        <v>1072</v>
      </c>
      <c r="E22" s="677" t="s">
        <v>379</v>
      </c>
      <c r="F22" s="677" t="s">
        <v>379</v>
      </c>
      <c r="G22" s="677" t="s">
        <v>379</v>
      </c>
      <c r="H22" s="677" t="s">
        <v>379</v>
      </c>
      <c r="I22" s="677" t="s">
        <v>379</v>
      </c>
      <c r="J22" s="677" t="s">
        <v>379</v>
      </c>
      <c r="K22" s="677" t="s">
        <v>379</v>
      </c>
      <c r="L22" s="677" t="s">
        <v>379</v>
      </c>
      <c r="M22" s="959"/>
      <c r="N22"/>
      <c r="O22"/>
      <c r="P22"/>
      <c r="Q22"/>
      <c r="R22"/>
      <c r="S22"/>
      <c r="T22"/>
      <c r="U22"/>
      <c r="V22"/>
      <c r="W22"/>
      <c r="X22"/>
      <c r="Y22"/>
      <c r="Z22"/>
      <c r="AA22"/>
      <c r="AB22"/>
      <c r="AC22"/>
      <c r="AD22"/>
    </row>
    <row r="23" spans="1:30" ht="17.100000000000001" customHeight="1">
      <c r="A23" s="250"/>
      <c r="B23" s="317"/>
      <c r="C23" s="317"/>
      <c r="D23" s="317"/>
      <c r="E23" s="317"/>
      <c r="F23" s="317"/>
      <c r="G23" s="317"/>
      <c r="H23" s="317"/>
      <c r="I23" s="317"/>
      <c r="J23" s="317"/>
      <c r="K23" s="317"/>
      <c r="L23" s="317"/>
      <c r="M23" s="959"/>
      <c r="N23"/>
      <c r="O23"/>
      <c r="P23"/>
      <c r="Q23"/>
      <c r="R23"/>
      <c r="S23"/>
      <c r="T23"/>
      <c r="U23"/>
      <c r="V23"/>
      <c r="W23"/>
      <c r="X23"/>
      <c r="Y23"/>
      <c r="Z23"/>
      <c r="AA23"/>
      <c r="AB23"/>
      <c r="AC23"/>
      <c r="AD23"/>
    </row>
    <row r="24" spans="1:30" ht="23.25">
      <c r="A24" s="250"/>
      <c r="B24" s="1071" t="s">
        <v>2181</v>
      </c>
      <c r="C24" s="1071"/>
      <c r="D24" s="301" t="s">
        <v>427</v>
      </c>
      <c r="E24" s="301" t="s">
        <v>428</v>
      </c>
      <c r="F24" s="301" t="s">
        <v>429</v>
      </c>
      <c r="G24" s="302" t="s">
        <v>379</v>
      </c>
      <c r="H24" s="302" t="s">
        <v>379</v>
      </c>
      <c r="I24" s="302" t="s">
        <v>379</v>
      </c>
      <c r="J24" s="302" t="s">
        <v>379</v>
      </c>
      <c r="K24" s="302" t="s">
        <v>379</v>
      </c>
      <c r="L24" s="302" t="s">
        <v>379</v>
      </c>
      <c r="M24" s="959"/>
      <c r="N24"/>
      <c r="O24"/>
      <c r="P24"/>
      <c r="Q24"/>
      <c r="R24"/>
      <c r="S24"/>
      <c r="T24"/>
      <c r="U24"/>
      <c r="V24"/>
      <c r="W24"/>
      <c r="X24"/>
      <c r="Y24"/>
      <c r="Z24"/>
      <c r="AA24"/>
      <c r="AB24"/>
      <c r="AC24"/>
      <c r="AD24"/>
    </row>
    <row r="25" spans="1:30" ht="24">
      <c r="A25" s="250">
        <v>21</v>
      </c>
      <c r="B25" s="609" t="s">
        <v>430</v>
      </c>
      <c r="C25" s="827" t="s">
        <v>1787</v>
      </c>
      <c r="D25" s="1072">
        <v>22</v>
      </c>
      <c r="E25" s="1072">
        <v>39</v>
      </c>
      <c r="F25" s="1072">
        <v>48</v>
      </c>
      <c r="G25" s="303" t="s">
        <v>379</v>
      </c>
      <c r="H25" s="303" t="s">
        <v>379</v>
      </c>
      <c r="I25" s="303" t="s">
        <v>379</v>
      </c>
      <c r="J25" s="303" t="s">
        <v>379</v>
      </c>
      <c r="K25" s="303" t="s">
        <v>379</v>
      </c>
      <c r="L25" s="303" t="s">
        <v>379</v>
      </c>
      <c r="M25" s="959"/>
      <c r="N25"/>
      <c r="O25"/>
      <c r="P25"/>
      <c r="Q25"/>
      <c r="R25"/>
      <c r="S25"/>
      <c r="T25"/>
      <c r="U25"/>
      <c r="V25"/>
      <c r="W25"/>
      <c r="X25"/>
      <c r="Y25"/>
      <c r="Z25"/>
      <c r="AA25"/>
      <c r="AB25"/>
      <c r="AC25"/>
      <c r="AD25"/>
    </row>
    <row r="26" spans="1:30" ht="16.5" customHeight="1">
      <c r="A26" s="1649">
        <v>22</v>
      </c>
      <c r="B26" s="1650" t="s">
        <v>431</v>
      </c>
      <c r="C26" s="1651" t="s">
        <v>1787</v>
      </c>
      <c r="D26" s="301" t="s">
        <v>427</v>
      </c>
      <c r="E26" s="301" t="s">
        <v>428</v>
      </c>
      <c r="F26" s="301" t="s">
        <v>429</v>
      </c>
      <c r="G26" s="301" t="s">
        <v>432</v>
      </c>
      <c r="H26" s="301" t="s">
        <v>433</v>
      </c>
      <c r="I26" s="301" t="s">
        <v>434</v>
      </c>
      <c r="J26" s="301" t="s">
        <v>435</v>
      </c>
      <c r="K26" s="301" t="s">
        <v>436</v>
      </c>
      <c r="L26" s="301" t="s">
        <v>437</v>
      </c>
      <c r="M26" s="959"/>
      <c r="N26"/>
      <c r="O26"/>
      <c r="P26"/>
      <c r="Q26"/>
      <c r="R26"/>
      <c r="S26"/>
      <c r="T26"/>
      <c r="U26"/>
      <c r="V26"/>
      <c r="W26"/>
      <c r="X26"/>
      <c r="Y26"/>
      <c r="Z26"/>
      <c r="AA26"/>
      <c r="AB26"/>
      <c r="AC26"/>
      <c r="AD26"/>
    </row>
    <row r="27" spans="1:30" ht="15.75">
      <c r="A27" s="1649"/>
      <c r="B27" s="1650"/>
      <c r="C27" s="1651"/>
      <c r="D27" s="1072">
        <v>16</v>
      </c>
      <c r="E27" s="1072">
        <v>20</v>
      </c>
      <c r="F27" s="1072">
        <v>22</v>
      </c>
      <c r="G27" s="1072">
        <v>33</v>
      </c>
      <c r="H27" s="1072">
        <v>34</v>
      </c>
      <c r="I27" s="1072">
        <v>46</v>
      </c>
      <c r="J27" s="1072">
        <v>61</v>
      </c>
      <c r="K27" s="1072">
        <v>59</v>
      </c>
      <c r="L27" s="1072">
        <v>67</v>
      </c>
      <c r="M27" s="959"/>
      <c r="N27"/>
      <c r="O27"/>
      <c r="P27"/>
      <c r="Q27"/>
      <c r="R27"/>
      <c r="S27"/>
      <c r="T27"/>
      <c r="U27"/>
      <c r="V27"/>
      <c r="W27"/>
      <c r="X27"/>
      <c r="Y27"/>
      <c r="Z27"/>
      <c r="AA27"/>
      <c r="AB27"/>
      <c r="AC27"/>
      <c r="AD27"/>
    </row>
    <row r="28" spans="1:30" ht="16.5" customHeight="1">
      <c r="A28" s="1649"/>
      <c r="B28" s="1650"/>
      <c r="C28" s="1651" t="s">
        <v>1787</v>
      </c>
      <c r="D28" s="301" t="s">
        <v>438</v>
      </c>
      <c r="E28" s="301" t="s">
        <v>439</v>
      </c>
      <c r="F28" s="301" t="s">
        <v>440</v>
      </c>
      <c r="G28" s="301" t="s">
        <v>441</v>
      </c>
      <c r="H28" s="301" t="s">
        <v>442</v>
      </c>
      <c r="I28" s="301" t="s">
        <v>443</v>
      </c>
      <c r="J28" s="301" t="s">
        <v>444</v>
      </c>
      <c r="K28" s="301" t="s">
        <v>445</v>
      </c>
      <c r="L28" s="301" t="s">
        <v>446</v>
      </c>
      <c r="M28" s="959"/>
      <c r="N28"/>
      <c r="O28"/>
      <c r="P28"/>
      <c r="Q28"/>
      <c r="R28"/>
      <c r="S28"/>
      <c r="T28"/>
      <c r="U28"/>
      <c r="V28"/>
      <c r="W28"/>
      <c r="X28"/>
      <c r="Y28"/>
      <c r="Z28"/>
      <c r="AA28"/>
      <c r="AB28"/>
      <c r="AC28"/>
      <c r="AD28"/>
    </row>
    <row r="29" spans="1:30" ht="15.75">
      <c r="A29" s="1649"/>
      <c r="B29" s="1650"/>
      <c r="C29" s="1651"/>
      <c r="D29" s="1072">
        <v>71</v>
      </c>
      <c r="E29" s="1072">
        <v>96</v>
      </c>
      <c r="F29" s="1072">
        <v>119</v>
      </c>
      <c r="G29" s="1072">
        <v>120</v>
      </c>
      <c r="H29" s="1072">
        <v>120</v>
      </c>
      <c r="I29" s="1072">
        <v>120</v>
      </c>
      <c r="J29" s="1072">
        <v>239</v>
      </c>
      <c r="K29" s="1072">
        <v>244</v>
      </c>
      <c r="L29" s="1072">
        <v>246</v>
      </c>
      <c r="M29" s="959"/>
      <c r="N29"/>
      <c r="O29"/>
      <c r="P29"/>
      <c r="Q29"/>
      <c r="R29"/>
      <c r="S29"/>
      <c r="T29"/>
      <c r="U29"/>
      <c r="V29"/>
      <c r="W29"/>
      <c r="X29"/>
      <c r="Y29"/>
      <c r="Z29"/>
      <c r="AA29"/>
      <c r="AB29"/>
      <c r="AC29"/>
      <c r="AD29"/>
    </row>
    <row r="30" spans="1:30" ht="16.5" customHeight="1">
      <c r="A30" s="1649"/>
      <c r="B30" s="1650"/>
      <c r="C30" s="1651" t="s">
        <v>1787</v>
      </c>
      <c r="D30" s="301" t="s">
        <v>447</v>
      </c>
      <c r="E30" s="301" t="s">
        <v>448</v>
      </c>
      <c r="F30" s="301" t="s">
        <v>449</v>
      </c>
      <c r="G30" s="301" t="s">
        <v>450</v>
      </c>
      <c r="H30" s="301" t="s">
        <v>451</v>
      </c>
      <c r="I30" s="302" t="s">
        <v>379</v>
      </c>
      <c r="J30" s="302" t="s">
        <v>379</v>
      </c>
      <c r="K30" s="302" t="s">
        <v>379</v>
      </c>
      <c r="L30" s="302" t="s">
        <v>379</v>
      </c>
      <c r="M30" s="959"/>
      <c r="N30"/>
      <c r="O30"/>
      <c r="P30"/>
      <c r="Q30"/>
      <c r="R30"/>
      <c r="S30"/>
      <c r="T30"/>
      <c r="U30"/>
      <c r="V30"/>
      <c r="W30"/>
      <c r="X30"/>
      <c r="Y30"/>
      <c r="Z30"/>
      <c r="AA30"/>
      <c r="AB30"/>
      <c r="AC30"/>
      <c r="AD30"/>
    </row>
    <row r="31" spans="1:30" ht="15.75">
      <c r="A31" s="1649"/>
      <c r="B31" s="1650"/>
      <c r="C31" s="1651"/>
      <c r="D31" s="1072">
        <v>454</v>
      </c>
      <c r="E31" s="1072">
        <v>487</v>
      </c>
      <c r="F31" s="1072">
        <v>573</v>
      </c>
      <c r="G31" s="1072">
        <v>803</v>
      </c>
      <c r="H31" s="1072">
        <v>893</v>
      </c>
      <c r="I31" s="303" t="s">
        <v>379</v>
      </c>
      <c r="J31" s="303" t="s">
        <v>379</v>
      </c>
      <c r="K31" s="303" t="s">
        <v>379</v>
      </c>
      <c r="L31" s="303" t="s">
        <v>379</v>
      </c>
      <c r="M31" s="959"/>
      <c r="N31"/>
      <c r="O31"/>
      <c r="P31"/>
      <c r="Q31"/>
      <c r="R31"/>
      <c r="S31"/>
      <c r="T31"/>
      <c r="U31"/>
      <c r="V31"/>
      <c r="W31"/>
      <c r="X31"/>
      <c r="Y31"/>
      <c r="Z31"/>
      <c r="AA31"/>
      <c r="AB31"/>
      <c r="AC31"/>
      <c r="AD31"/>
    </row>
    <row r="32" spans="1:30" ht="16.5" customHeight="1">
      <c r="A32" s="250"/>
      <c r="B32" s="1073"/>
      <c r="C32" s="1073"/>
      <c r="D32" s="1074"/>
      <c r="E32" s="1074"/>
      <c r="F32" s="1074"/>
      <c r="G32" s="1074"/>
      <c r="H32" s="1074"/>
      <c r="I32" s="1074"/>
      <c r="J32" s="1074"/>
      <c r="K32" s="1074"/>
      <c r="L32" s="1074"/>
      <c r="M32" s="959"/>
      <c r="N32"/>
      <c r="O32"/>
      <c r="P32"/>
      <c r="Q32"/>
      <c r="R32"/>
      <c r="S32"/>
      <c r="T32"/>
      <c r="U32"/>
      <c r="V32"/>
      <c r="W32"/>
      <c r="X32"/>
      <c r="Y32"/>
      <c r="Z32"/>
      <c r="AA32"/>
      <c r="AB32"/>
      <c r="AC32"/>
      <c r="AD32"/>
    </row>
    <row r="33" spans="1:30" ht="23.25">
      <c r="A33" s="1649">
        <v>23</v>
      </c>
      <c r="B33" s="1071" t="s">
        <v>2181</v>
      </c>
      <c r="C33" s="1071"/>
      <c r="D33" s="301" t="s">
        <v>452</v>
      </c>
      <c r="E33" s="301" t="s">
        <v>453</v>
      </c>
      <c r="F33" s="301" t="s">
        <v>454</v>
      </c>
      <c r="G33" s="301" t="s">
        <v>455</v>
      </c>
      <c r="H33" s="301" t="s">
        <v>456</v>
      </c>
      <c r="I33" s="301" t="s">
        <v>457</v>
      </c>
      <c r="J33" s="301" t="s">
        <v>458</v>
      </c>
      <c r="K33" s="301" t="s">
        <v>459</v>
      </c>
      <c r="L33" s="301" t="s">
        <v>460</v>
      </c>
      <c r="M33" s="959"/>
      <c r="N33"/>
      <c r="O33"/>
      <c r="P33"/>
      <c r="Q33"/>
      <c r="R33"/>
      <c r="S33"/>
      <c r="T33"/>
      <c r="U33"/>
      <c r="V33"/>
      <c r="W33"/>
      <c r="X33"/>
      <c r="Y33"/>
      <c r="Z33"/>
      <c r="AA33"/>
      <c r="AB33"/>
      <c r="AC33"/>
      <c r="AD33"/>
    </row>
    <row r="34" spans="1:30" ht="24">
      <c r="A34" s="1649"/>
      <c r="B34" s="1650" t="s">
        <v>461</v>
      </c>
      <c r="C34" s="827" t="s">
        <v>1787</v>
      </c>
      <c r="D34" s="1072">
        <v>29</v>
      </c>
      <c r="E34" s="1072">
        <v>43</v>
      </c>
      <c r="F34" s="1072">
        <v>43</v>
      </c>
      <c r="G34" s="1072">
        <v>61</v>
      </c>
      <c r="H34" s="1072">
        <v>69</v>
      </c>
      <c r="I34" s="1072">
        <v>74</v>
      </c>
      <c r="J34" s="1072">
        <v>126</v>
      </c>
      <c r="K34" s="1072">
        <v>129</v>
      </c>
      <c r="L34" s="1072">
        <v>138</v>
      </c>
      <c r="M34" s="959"/>
      <c r="N34"/>
      <c r="O34"/>
      <c r="P34"/>
      <c r="Q34"/>
      <c r="R34"/>
      <c r="S34"/>
      <c r="T34"/>
      <c r="U34"/>
      <c r="V34"/>
      <c r="W34"/>
      <c r="X34"/>
      <c r="Y34"/>
      <c r="Z34"/>
      <c r="AA34"/>
      <c r="AB34"/>
      <c r="AC34"/>
      <c r="AD34"/>
    </row>
    <row r="35" spans="1:30" ht="16.5" customHeight="1">
      <c r="A35" s="1649"/>
      <c r="B35" s="1650"/>
      <c r="C35" s="1651" t="s">
        <v>1787</v>
      </c>
      <c r="D35" s="301" t="s">
        <v>462</v>
      </c>
      <c r="E35" s="301" t="s">
        <v>463</v>
      </c>
      <c r="F35" s="301" t="s">
        <v>464</v>
      </c>
      <c r="G35" s="301" t="s">
        <v>465</v>
      </c>
      <c r="H35" s="301" t="s">
        <v>466</v>
      </c>
      <c r="I35" s="301" t="s">
        <v>467</v>
      </c>
      <c r="J35" s="301" t="s">
        <v>468</v>
      </c>
      <c r="K35" s="301" t="s">
        <v>469</v>
      </c>
      <c r="L35" s="301" t="s">
        <v>470</v>
      </c>
      <c r="M35" s="959"/>
      <c r="N35"/>
      <c r="O35"/>
      <c r="P35"/>
      <c r="Q35"/>
      <c r="R35"/>
      <c r="S35"/>
      <c r="T35"/>
      <c r="U35"/>
      <c r="V35"/>
      <c r="W35"/>
      <c r="X35"/>
      <c r="Y35"/>
      <c r="Z35"/>
      <c r="AA35"/>
      <c r="AB35"/>
      <c r="AC35"/>
      <c r="AD35"/>
    </row>
    <row r="36" spans="1:30" ht="15.75">
      <c r="A36" s="1649"/>
      <c r="B36" s="1650"/>
      <c r="C36" s="1651"/>
      <c r="D36" s="1072">
        <v>143</v>
      </c>
      <c r="E36" s="1072">
        <v>187</v>
      </c>
      <c r="F36" s="1072">
        <v>208</v>
      </c>
      <c r="G36" s="1072">
        <v>215</v>
      </c>
      <c r="H36" s="1072">
        <v>220</v>
      </c>
      <c r="I36" s="1072">
        <v>227</v>
      </c>
      <c r="J36" s="1072">
        <v>550</v>
      </c>
      <c r="K36" s="1072">
        <v>552</v>
      </c>
      <c r="L36" s="1072">
        <v>907</v>
      </c>
      <c r="M36" s="959"/>
      <c r="N36"/>
      <c r="O36"/>
      <c r="P36"/>
      <c r="Q36"/>
      <c r="R36"/>
      <c r="S36"/>
      <c r="T36"/>
      <c r="U36"/>
      <c r="V36"/>
      <c r="W36"/>
      <c r="X36"/>
      <c r="Y36"/>
      <c r="Z36"/>
      <c r="AA36"/>
      <c r="AB36"/>
      <c r="AC36"/>
      <c r="AD36"/>
    </row>
    <row r="37" spans="1:30" ht="16.5" customHeight="1">
      <c r="A37" s="1649"/>
      <c r="B37" s="1650"/>
      <c r="C37" s="1073"/>
      <c r="D37" s="301" t="s">
        <v>471</v>
      </c>
      <c r="E37" s="301" t="s">
        <v>472</v>
      </c>
      <c r="F37" s="301" t="s">
        <v>473</v>
      </c>
      <c r="G37" s="302" t="s">
        <v>379</v>
      </c>
      <c r="H37" s="302" t="s">
        <v>379</v>
      </c>
      <c r="I37" s="302" t="s">
        <v>379</v>
      </c>
      <c r="J37" s="302" t="s">
        <v>379</v>
      </c>
      <c r="K37" s="302" t="s">
        <v>379</v>
      </c>
      <c r="L37" s="302" t="s">
        <v>379</v>
      </c>
      <c r="M37" s="959"/>
      <c r="N37"/>
      <c r="O37"/>
      <c r="P37"/>
      <c r="Q37"/>
      <c r="R37"/>
      <c r="S37"/>
      <c r="T37"/>
      <c r="U37"/>
      <c r="V37"/>
      <c r="W37"/>
      <c r="X37"/>
      <c r="Y37"/>
      <c r="Z37"/>
      <c r="AA37"/>
      <c r="AB37"/>
      <c r="AC37"/>
      <c r="AD37"/>
    </row>
    <row r="38" spans="1:30" ht="20.25">
      <c r="A38" s="1649"/>
      <c r="B38" s="1650"/>
      <c r="C38" s="1075" t="s">
        <v>1787</v>
      </c>
      <c r="D38" s="1072">
        <v>1003</v>
      </c>
      <c r="E38" s="1072">
        <v>1624</v>
      </c>
      <c r="F38" s="1072">
        <v>1672</v>
      </c>
      <c r="G38" s="303" t="s">
        <v>379</v>
      </c>
      <c r="H38" s="303" t="s">
        <v>379</v>
      </c>
      <c r="I38" s="303" t="s">
        <v>379</v>
      </c>
      <c r="J38" s="303" t="s">
        <v>379</v>
      </c>
      <c r="K38" s="303" t="s">
        <v>379</v>
      </c>
      <c r="L38" s="303" t="s">
        <v>379</v>
      </c>
      <c r="M38" s="959"/>
      <c r="N38"/>
      <c r="O38"/>
      <c r="P38"/>
      <c r="Q38"/>
      <c r="R38"/>
      <c r="S38"/>
      <c r="T38"/>
      <c r="U38"/>
      <c r="V38"/>
      <c r="W38"/>
      <c r="X38"/>
      <c r="Y38"/>
      <c r="Z38"/>
      <c r="AA38"/>
      <c r="AB38"/>
      <c r="AC38"/>
      <c r="AD38"/>
    </row>
    <row r="39" spans="1:30" ht="16.5" customHeight="1">
      <c r="A39" s="250"/>
      <c r="B39" s="1073"/>
      <c r="C39" s="1073"/>
      <c r="D39" s="1074"/>
      <c r="E39" s="1074"/>
      <c r="F39" s="1074"/>
      <c r="G39" s="303"/>
      <c r="H39" s="303"/>
      <c r="I39" s="303"/>
      <c r="J39" s="303"/>
      <c r="K39" s="303"/>
      <c r="L39" s="303"/>
      <c r="M39" s="959"/>
      <c r="N39"/>
      <c r="O39"/>
      <c r="P39"/>
      <c r="Q39"/>
      <c r="R39"/>
      <c r="S39"/>
      <c r="T39"/>
      <c r="U39"/>
      <c r="V39"/>
      <c r="W39"/>
      <c r="X39"/>
      <c r="Y39"/>
      <c r="Z39"/>
      <c r="AA39"/>
      <c r="AB39"/>
      <c r="AC39"/>
      <c r="AD39"/>
    </row>
    <row r="40" spans="1:30" ht="23.25">
      <c r="A40" s="250"/>
      <c r="B40" s="1071" t="s">
        <v>2181</v>
      </c>
      <c r="C40" s="1071"/>
      <c r="D40" s="301" t="s">
        <v>1949</v>
      </c>
      <c r="E40" s="301" t="s">
        <v>1950</v>
      </c>
      <c r="F40" s="301" t="s">
        <v>1951</v>
      </c>
      <c r="G40" s="301" t="s">
        <v>1952</v>
      </c>
      <c r="H40" s="301" t="s">
        <v>1953</v>
      </c>
      <c r="I40" s="301" t="s">
        <v>1954</v>
      </c>
      <c r="J40" s="301" t="s">
        <v>474</v>
      </c>
      <c r="K40" s="301" t="s">
        <v>1955</v>
      </c>
      <c r="L40" s="301" t="s">
        <v>1956</v>
      </c>
      <c r="M40" s="959"/>
      <c r="N40"/>
      <c r="O40"/>
      <c r="P40"/>
      <c r="Q40"/>
      <c r="R40"/>
      <c r="S40"/>
      <c r="T40"/>
      <c r="U40"/>
      <c r="V40"/>
      <c r="W40"/>
      <c r="X40"/>
      <c r="Y40"/>
      <c r="Z40"/>
      <c r="AA40"/>
      <c r="AB40"/>
      <c r="AC40"/>
      <c r="AD40"/>
    </row>
    <row r="41" spans="1:30" ht="15.75">
      <c r="A41" s="1649">
        <v>24</v>
      </c>
      <c r="B41" s="1650" t="s">
        <v>475</v>
      </c>
      <c r="C41" s="1651" t="s">
        <v>1787</v>
      </c>
      <c r="D41" s="1072">
        <v>105</v>
      </c>
      <c r="E41" s="1072">
        <v>124</v>
      </c>
      <c r="F41" s="1072">
        <v>138</v>
      </c>
      <c r="G41" s="1072">
        <v>140</v>
      </c>
      <c r="H41" s="1072">
        <v>119</v>
      </c>
      <c r="I41" s="1072">
        <v>127</v>
      </c>
      <c r="J41" s="1072">
        <v>300</v>
      </c>
      <c r="K41" s="1072">
        <v>519</v>
      </c>
      <c r="L41" s="1072">
        <v>672</v>
      </c>
      <c r="M41" s="959"/>
      <c r="N41"/>
      <c r="O41"/>
      <c r="P41"/>
      <c r="Q41"/>
      <c r="R41"/>
      <c r="S41"/>
      <c r="T41"/>
      <c r="U41"/>
      <c r="V41"/>
      <c r="W41"/>
      <c r="X41"/>
      <c r="Y41"/>
      <c r="Z41"/>
      <c r="AA41"/>
      <c r="AB41"/>
      <c r="AC41"/>
      <c r="AD41"/>
    </row>
    <row r="42" spans="1:30" ht="15.75">
      <c r="A42" s="1649"/>
      <c r="B42" s="1650"/>
      <c r="C42" s="1651"/>
      <c r="D42" s="1072">
        <v>901</v>
      </c>
      <c r="E42" s="1072">
        <v>2675</v>
      </c>
      <c r="F42" s="303" t="s">
        <v>379</v>
      </c>
      <c r="G42" s="303" t="s">
        <v>379</v>
      </c>
      <c r="H42" s="303" t="s">
        <v>379</v>
      </c>
      <c r="I42" s="303" t="s">
        <v>379</v>
      </c>
      <c r="J42" s="303" t="s">
        <v>379</v>
      </c>
      <c r="K42" s="303" t="s">
        <v>379</v>
      </c>
      <c r="L42" s="303" t="s">
        <v>379</v>
      </c>
      <c r="M42" s="959"/>
      <c r="N42"/>
      <c r="O42"/>
      <c r="P42"/>
      <c r="Q42"/>
      <c r="R42"/>
      <c r="S42"/>
      <c r="T42"/>
      <c r="U42"/>
      <c r="V42"/>
      <c r="W42"/>
      <c r="X42"/>
      <c r="Y42"/>
      <c r="Z42"/>
      <c r="AA42"/>
      <c r="AB42"/>
      <c r="AC42"/>
      <c r="AD42"/>
    </row>
    <row r="43" spans="1:30" ht="18.75">
      <c r="A43" s="1649">
        <v>25</v>
      </c>
      <c r="B43" s="1650" t="s">
        <v>476</v>
      </c>
      <c r="C43" s="1651" t="s">
        <v>1787</v>
      </c>
      <c r="D43" s="301" t="s">
        <v>1949</v>
      </c>
      <c r="E43" s="301" t="s">
        <v>1950</v>
      </c>
      <c r="F43" s="301" t="s">
        <v>1951</v>
      </c>
      <c r="G43" s="301" t="s">
        <v>1952</v>
      </c>
      <c r="H43" s="301" t="s">
        <v>1953</v>
      </c>
      <c r="I43" s="301" t="s">
        <v>1954</v>
      </c>
      <c r="J43" s="301" t="s">
        <v>474</v>
      </c>
      <c r="K43" s="301" t="s">
        <v>1955</v>
      </c>
      <c r="L43" s="301" t="s">
        <v>1956</v>
      </c>
      <c r="M43" s="959"/>
      <c r="N43"/>
      <c r="O43"/>
      <c r="P43"/>
      <c r="Q43"/>
      <c r="R43"/>
      <c r="S43"/>
      <c r="T43"/>
      <c r="U43"/>
      <c r="V43"/>
      <c r="W43"/>
      <c r="X43"/>
      <c r="Y43"/>
      <c r="Z43"/>
      <c r="AA43"/>
      <c r="AB43"/>
      <c r="AC43"/>
      <c r="AD43"/>
    </row>
    <row r="44" spans="1:30" ht="15.75">
      <c r="A44" s="1649"/>
      <c r="B44" s="1650"/>
      <c r="C44" s="1651"/>
      <c r="D44" s="1072">
        <v>129</v>
      </c>
      <c r="E44" s="1072">
        <v>136</v>
      </c>
      <c r="F44" s="1072">
        <v>157</v>
      </c>
      <c r="G44" s="1072">
        <v>181</v>
      </c>
      <c r="H44" s="1072">
        <v>163</v>
      </c>
      <c r="I44" s="1072">
        <v>174</v>
      </c>
      <c r="J44" s="1072">
        <v>350</v>
      </c>
      <c r="K44" s="1072">
        <v>591</v>
      </c>
      <c r="L44" s="1072">
        <v>891</v>
      </c>
      <c r="M44" s="959"/>
      <c r="N44"/>
      <c r="O44"/>
      <c r="P44"/>
      <c r="Q44"/>
      <c r="R44"/>
      <c r="S44"/>
      <c r="T44"/>
      <c r="U44"/>
      <c r="V44"/>
      <c r="W44"/>
      <c r="X44"/>
      <c r="Y44"/>
      <c r="Z44"/>
      <c r="AA44"/>
      <c r="AB44"/>
      <c r="AC44"/>
      <c r="AD44"/>
    </row>
    <row r="45" spans="1:30" ht="18.75">
      <c r="A45" s="1649"/>
      <c r="B45" s="1650"/>
      <c r="C45" s="1651" t="s">
        <v>1787</v>
      </c>
      <c r="D45" s="301" t="s">
        <v>1411</v>
      </c>
      <c r="E45" s="301" t="s">
        <v>1957</v>
      </c>
      <c r="F45" s="303" t="s">
        <v>379</v>
      </c>
      <c r="G45" s="303" t="s">
        <v>379</v>
      </c>
      <c r="H45" s="303" t="s">
        <v>379</v>
      </c>
      <c r="I45" s="303" t="s">
        <v>379</v>
      </c>
      <c r="J45" s="303" t="s">
        <v>379</v>
      </c>
      <c r="K45" s="303" t="s">
        <v>379</v>
      </c>
      <c r="L45" s="303" t="s">
        <v>379</v>
      </c>
      <c r="M45" s="959"/>
      <c r="N45"/>
      <c r="O45"/>
      <c r="P45"/>
      <c r="Q45"/>
      <c r="R45"/>
      <c r="S45"/>
      <c r="T45"/>
      <c r="U45"/>
      <c r="V45"/>
      <c r="W45"/>
      <c r="X45"/>
      <c r="Y45"/>
      <c r="Z45"/>
      <c r="AA45"/>
      <c r="AB45"/>
      <c r="AC45"/>
      <c r="AD45"/>
    </row>
    <row r="46" spans="1:30" ht="15.75">
      <c r="A46" s="1649"/>
      <c r="B46" s="1650"/>
      <c r="C46" s="1651"/>
      <c r="D46" s="1072">
        <v>1176</v>
      </c>
      <c r="E46" s="1072">
        <v>2923</v>
      </c>
      <c r="F46" s="303" t="s">
        <v>379</v>
      </c>
      <c r="G46" s="303" t="s">
        <v>379</v>
      </c>
      <c r="H46" s="303" t="s">
        <v>379</v>
      </c>
      <c r="I46" s="303" t="s">
        <v>379</v>
      </c>
      <c r="J46" s="303" t="s">
        <v>379</v>
      </c>
      <c r="K46" s="303" t="s">
        <v>379</v>
      </c>
      <c r="L46" s="303" t="s">
        <v>379</v>
      </c>
      <c r="M46" s="959"/>
      <c r="N46"/>
      <c r="O46"/>
      <c r="P46"/>
      <c r="Q46"/>
      <c r="R46"/>
      <c r="S46"/>
      <c r="T46"/>
      <c r="U46"/>
      <c r="V46"/>
      <c r="W46"/>
      <c r="X46"/>
      <c r="Y46"/>
      <c r="Z46"/>
      <c r="AA46"/>
      <c r="AB46"/>
      <c r="AC46"/>
      <c r="AD46"/>
    </row>
    <row r="47" spans="1:30" ht="18.600000000000001" customHeight="1">
      <c r="A47" s="1649">
        <v>26</v>
      </c>
      <c r="B47" s="1650" t="s">
        <v>477</v>
      </c>
      <c r="C47" s="1651" t="s">
        <v>1787</v>
      </c>
      <c r="D47" s="301" t="s">
        <v>1949</v>
      </c>
      <c r="E47" s="301" t="s">
        <v>1950</v>
      </c>
      <c r="F47" s="301" t="s">
        <v>1951</v>
      </c>
      <c r="G47" s="301" t="s">
        <v>1952</v>
      </c>
      <c r="H47" s="301" t="s">
        <v>1953</v>
      </c>
      <c r="I47" s="301" t="s">
        <v>1954</v>
      </c>
      <c r="J47" s="301" t="s">
        <v>474</v>
      </c>
      <c r="K47" s="301" t="s">
        <v>1955</v>
      </c>
      <c r="L47" s="301" t="s">
        <v>1956</v>
      </c>
      <c r="M47" s="959"/>
      <c r="N47"/>
      <c r="O47"/>
      <c r="P47"/>
      <c r="Q47"/>
      <c r="R47"/>
      <c r="S47"/>
      <c r="T47"/>
      <c r="U47"/>
      <c r="V47"/>
      <c r="W47"/>
      <c r="X47"/>
      <c r="Y47"/>
      <c r="Z47"/>
      <c r="AA47"/>
      <c r="AB47"/>
      <c r="AC47"/>
      <c r="AD47"/>
    </row>
    <row r="48" spans="1:30" ht="16.149999999999999" customHeight="1">
      <c r="A48" s="1649"/>
      <c r="B48" s="1650"/>
      <c r="C48" s="1651"/>
      <c r="D48" s="1072">
        <v>281</v>
      </c>
      <c r="E48" s="1072"/>
      <c r="F48" s="303" t="s">
        <v>379</v>
      </c>
      <c r="G48" s="1072">
        <v>364</v>
      </c>
      <c r="H48" s="303" t="s">
        <v>379</v>
      </c>
      <c r="I48" s="303" t="s">
        <v>379</v>
      </c>
      <c r="J48" s="1072">
        <v>589</v>
      </c>
      <c r="K48" s="1072">
        <v>812</v>
      </c>
      <c r="L48" s="1072">
        <v>1388</v>
      </c>
      <c r="M48" s="959"/>
      <c r="N48"/>
      <c r="O48"/>
      <c r="P48"/>
      <c r="Q48"/>
      <c r="R48"/>
      <c r="S48"/>
      <c r="T48"/>
      <c r="U48"/>
      <c r="V48"/>
      <c r="W48"/>
      <c r="X48"/>
      <c r="Y48"/>
      <c r="Z48"/>
      <c r="AA48"/>
      <c r="AB48"/>
      <c r="AC48"/>
      <c r="AD48"/>
    </row>
    <row r="49" spans="1:30" ht="18.600000000000001" customHeight="1">
      <c r="A49" s="1649"/>
      <c r="B49" s="1650"/>
      <c r="C49" s="1651" t="s">
        <v>1787</v>
      </c>
      <c r="D49" s="301" t="s">
        <v>1411</v>
      </c>
      <c r="E49" s="301" t="s">
        <v>1957</v>
      </c>
      <c r="F49" s="303" t="s">
        <v>379</v>
      </c>
      <c r="G49" s="303" t="s">
        <v>379</v>
      </c>
      <c r="H49" s="303" t="s">
        <v>379</v>
      </c>
      <c r="I49" s="303" t="s">
        <v>379</v>
      </c>
      <c r="J49" s="303" t="s">
        <v>379</v>
      </c>
      <c r="K49" s="303" t="s">
        <v>379</v>
      </c>
      <c r="L49" s="303" t="s">
        <v>379</v>
      </c>
      <c r="M49" s="959"/>
      <c r="N49"/>
      <c r="O49"/>
      <c r="P49"/>
      <c r="Q49"/>
      <c r="R49"/>
      <c r="S49"/>
      <c r="T49"/>
      <c r="U49"/>
      <c r="V49"/>
      <c r="W49"/>
      <c r="X49"/>
      <c r="Y49"/>
      <c r="Z49"/>
      <c r="AA49"/>
      <c r="AB49"/>
      <c r="AC49"/>
      <c r="AD49"/>
    </row>
    <row r="50" spans="1:30" ht="16.149999999999999" customHeight="1">
      <c r="A50" s="1649"/>
      <c r="B50" s="1650"/>
      <c r="C50" s="1651"/>
      <c r="D50" s="1072">
        <v>2531</v>
      </c>
      <c r="E50" s="1072"/>
      <c r="F50" s="303" t="s">
        <v>379</v>
      </c>
      <c r="G50" s="303" t="s">
        <v>379</v>
      </c>
      <c r="H50" s="303" t="s">
        <v>379</v>
      </c>
      <c r="I50" s="303" t="s">
        <v>379</v>
      </c>
      <c r="J50" s="303" t="s">
        <v>379</v>
      </c>
      <c r="K50" s="303" t="s">
        <v>379</v>
      </c>
      <c r="L50" s="303" t="s">
        <v>379</v>
      </c>
      <c r="M50" s="959"/>
      <c r="N50"/>
      <c r="O50"/>
      <c r="P50"/>
      <c r="Q50"/>
      <c r="R50"/>
      <c r="S50"/>
      <c r="T50"/>
      <c r="U50"/>
      <c r="V50"/>
      <c r="W50"/>
      <c r="X50"/>
      <c r="Y50"/>
      <c r="Z50"/>
      <c r="AA50"/>
      <c r="AB50"/>
      <c r="AC50"/>
      <c r="AD50"/>
    </row>
    <row r="51" spans="1:30" ht="18.600000000000001" customHeight="1">
      <c r="A51" s="1649">
        <v>27</v>
      </c>
      <c r="B51" s="1650" t="s">
        <v>478</v>
      </c>
      <c r="C51" s="1651" t="s">
        <v>1787</v>
      </c>
      <c r="D51" s="301" t="s">
        <v>1949</v>
      </c>
      <c r="E51" s="301" t="s">
        <v>1950</v>
      </c>
      <c r="F51" s="301" t="s">
        <v>1951</v>
      </c>
      <c r="G51" s="301" t="s">
        <v>1952</v>
      </c>
      <c r="H51" s="301" t="s">
        <v>1953</v>
      </c>
      <c r="I51" s="301" t="s">
        <v>1954</v>
      </c>
      <c r="J51" s="301" t="s">
        <v>474</v>
      </c>
      <c r="K51" s="301" t="s">
        <v>1955</v>
      </c>
      <c r="L51" s="301" t="s">
        <v>1956</v>
      </c>
      <c r="M51" s="959"/>
      <c r="N51"/>
      <c r="O51"/>
      <c r="P51"/>
      <c r="Q51"/>
      <c r="R51"/>
      <c r="S51"/>
      <c r="T51"/>
      <c r="U51"/>
      <c r="V51"/>
      <c r="W51"/>
      <c r="X51"/>
      <c r="Y51"/>
      <c r="Z51"/>
      <c r="AA51"/>
      <c r="AB51"/>
      <c r="AC51"/>
      <c r="AD51"/>
    </row>
    <row r="52" spans="1:30" ht="15.75">
      <c r="A52" s="1649"/>
      <c r="B52" s="1650"/>
      <c r="C52" s="1651"/>
      <c r="D52" s="1072">
        <v>292</v>
      </c>
      <c r="E52" s="1072"/>
      <c r="F52" s="303" t="s">
        <v>379</v>
      </c>
      <c r="G52" s="1072">
        <v>419</v>
      </c>
      <c r="H52" s="303" t="s">
        <v>379</v>
      </c>
      <c r="I52" s="303" t="s">
        <v>379</v>
      </c>
      <c r="J52" s="1072">
        <v>615</v>
      </c>
      <c r="K52" s="1072">
        <v>1108</v>
      </c>
      <c r="L52" s="1072">
        <v>1431</v>
      </c>
      <c r="M52" s="959"/>
      <c r="N52"/>
      <c r="O52"/>
      <c r="P52"/>
      <c r="Q52"/>
      <c r="R52"/>
      <c r="S52"/>
      <c r="T52"/>
      <c r="U52"/>
      <c r="V52"/>
      <c r="W52"/>
      <c r="X52"/>
      <c r="Y52"/>
      <c r="Z52"/>
      <c r="AA52"/>
      <c r="AB52"/>
      <c r="AC52"/>
      <c r="AD52"/>
    </row>
    <row r="53" spans="1:30" ht="18.75">
      <c r="A53" s="1649"/>
      <c r="B53" s="1650"/>
      <c r="C53" s="1651" t="s">
        <v>1787</v>
      </c>
      <c r="D53" s="301" t="s">
        <v>1411</v>
      </c>
      <c r="E53" s="301" t="s">
        <v>1957</v>
      </c>
      <c r="F53" s="303" t="s">
        <v>379</v>
      </c>
      <c r="G53" s="303" t="s">
        <v>379</v>
      </c>
      <c r="H53" s="303" t="s">
        <v>379</v>
      </c>
      <c r="I53" s="303" t="s">
        <v>379</v>
      </c>
      <c r="J53" s="303" t="s">
        <v>379</v>
      </c>
      <c r="K53" s="303" t="s">
        <v>379</v>
      </c>
      <c r="L53" s="303" t="s">
        <v>379</v>
      </c>
      <c r="M53" s="959"/>
      <c r="N53"/>
      <c r="O53"/>
      <c r="P53"/>
      <c r="Q53"/>
      <c r="R53"/>
      <c r="S53"/>
      <c r="T53"/>
      <c r="U53"/>
      <c r="V53"/>
      <c r="W53"/>
      <c r="X53"/>
      <c r="Y53"/>
      <c r="Z53"/>
      <c r="AA53"/>
      <c r="AB53"/>
      <c r="AC53"/>
      <c r="AD53"/>
    </row>
    <row r="54" spans="1:30" ht="15.75">
      <c r="A54" s="1649"/>
      <c r="B54" s="1650"/>
      <c r="C54" s="1651"/>
      <c r="D54" s="1072">
        <v>3821</v>
      </c>
      <c r="E54" s="1072"/>
      <c r="F54" s="303" t="s">
        <v>379</v>
      </c>
      <c r="G54" s="303" t="s">
        <v>379</v>
      </c>
      <c r="H54" s="303" t="s">
        <v>379</v>
      </c>
      <c r="I54" s="303" t="s">
        <v>379</v>
      </c>
      <c r="J54" s="303" t="s">
        <v>379</v>
      </c>
      <c r="K54" s="303" t="s">
        <v>379</v>
      </c>
      <c r="L54" s="303" t="s">
        <v>379</v>
      </c>
      <c r="M54" s="959"/>
      <c r="N54"/>
      <c r="O54"/>
      <c r="P54"/>
      <c r="Q54"/>
      <c r="R54"/>
      <c r="S54"/>
      <c r="T54"/>
      <c r="U54"/>
      <c r="V54"/>
      <c r="W54"/>
      <c r="X54"/>
      <c r="Y54"/>
      <c r="Z54"/>
      <c r="AA54"/>
      <c r="AB54"/>
      <c r="AC54"/>
      <c r="AD54"/>
    </row>
    <row r="55" spans="1:30" ht="23.25">
      <c r="A55" s="250"/>
      <c r="B55" s="1071" t="s">
        <v>2181</v>
      </c>
      <c r="C55" s="1071"/>
      <c r="D55" s="301" t="s">
        <v>1949</v>
      </c>
      <c r="E55" s="301" t="s">
        <v>1950</v>
      </c>
      <c r="F55" s="301" t="s">
        <v>1951</v>
      </c>
      <c r="G55" s="301" t="s">
        <v>1952</v>
      </c>
      <c r="H55" s="301" t="s">
        <v>1953</v>
      </c>
      <c r="I55" s="301" t="s">
        <v>1954</v>
      </c>
      <c r="J55" s="301" t="s">
        <v>474</v>
      </c>
      <c r="K55" s="301" t="s">
        <v>1955</v>
      </c>
      <c r="L55" s="301" t="s">
        <v>1956</v>
      </c>
      <c r="M55" s="959"/>
      <c r="N55"/>
      <c r="O55"/>
      <c r="P55"/>
      <c r="Q55"/>
      <c r="R55"/>
      <c r="S55"/>
      <c r="T55"/>
      <c r="U55"/>
      <c r="V55"/>
      <c r="W55"/>
      <c r="X55"/>
      <c r="Y55"/>
      <c r="Z55"/>
      <c r="AA55"/>
      <c r="AB55"/>
      <c r="AC55"/>
      <c r="AD55"/>
    </row>
    <row r="56" spans="1:30" ht="31.5">
      <c r="A56" s="250">
        <v>28</v>
      </c>
      <c r="B56" s="313" t="s">
        <v>479</v>
      </c>
      <c r="C56" s="827" t="s">
        <v>1787</v>
      </c>
      <c r="D56" s="680">
        <v>621</v>
      </c>
      <c r="E56" s="677">
        <v>910</v>
      </c>
      <c r="F56" s="677">
        <v>1123</v>
      </c>
      <c r="G56" s="680">
        <v>3198</v>
      </c>
      <c r="H56" s="677">
        <v>4394</v>
      </c>
      <c r="I56" s="677" t="s">
        <v>379</v>
      </c>
      <c r="J56" s="678" t="s">
        <v>379</v>
      </c>
      <c r="K56" s="1076"/>
      <c r="L56" s="678"/>
      <c r="M56" s="959"/>
      <c r="N56"/>
      <c r="O56"/>
      <c r="P56"/>
      <c r="Q56"/>
      <c r="R56"/>
      <c r="S56"/>
      <c r="T56"/>
      <c r="U56"/>
      <c r="V56"/>
      <c r="W56"/>
      <c r="X56"/>
      <c r="Y56"/>
      <c r="Z56"/>
      <c r="AA56"/>
      <c r="AB56"/>
      <c r="AC56"/>
      <c r="AD56"/>
    </row>
    <row r="57" spans="1:30" ht="31.5">
      <c r="A57" s="250">
        <v>29</v>
      </c>
      <c r="B57" s="313" t="s">
        <v>480</v>
      </c>
      <c r="C57" s="827" t="s">
        <v>1787</v>
      </c>
      <c r="D57" s="680">
        <v>573</v>
      </c>
      <c r="E57" s="677">
        <v>917</v>
      </c>
      <c r="F57" s="677">
        <v>1266</v>
      </c>
      <c r="G57" s="678" t="s">
        <v>379</v>
      </c>
      <c r="H57" s="678" t="s">
        <v>379</v>
      </c>
      <c r="I57" s="678" t="s">
        <v>379</v>
      </c>
      <c r="J57" s="678" t="s">
        <v>379</v>
      </c>
      <c r="K57" s="678" t="s">
        <v>379</v>
      </c>
      <c r="L57" s="678" t="s">
        <v>379</v>
      </c>
      <c r="M57" s="959"/>
      <c r="N57"/>
      <c r="O57"/>
      <c r="P57"/>
      <c r="Q57"/>
      <c r="R57"/>
      <c r="S57"/>
      <c r="T57"/>
      <c r="U57"/>
      <c r="V57"/>
      <c r="W57"/>
      <c r="X57"/>
      <c r="Y57"/>
      <c r="Z57"/>
      <c r="AA57"/>
      <c r="AB57"/>
      <c r="AC57"/>
      <c r="AD57"/>
    </row>
    <row r="58" spans="1:30" ht="24">
      <c r="A58" s="250">
        <v>30</v>
      </c>
      <c r="B58" s="313" t="s">
        <v>1412</v>
      </c>
      <c r="C58" s="827" t="s">
        <v>1787</v>
      </c>
      <c r="D58" s="680">
        <v>109</v>
      </c>
      <c r="E58" s="678" t="s">
        <v>379</v>
      </c>
      <c r="F58" s="680">
        <v>178</v>
      </c>
      <c r="G58" s="680">
        <v>146</v>
      </c>
      <c r="H58" s="680">
        <v>195</v>
      </c>
      <c r="I58" s="680">
        <v>229</v>
      </c>
      <c r="J58" s="680">
        <v>321</v>
      </c>
      <c r="K58" s="678" t="s">
        <v>379</v>
      </c>
      <c r="L58" s="678" t="s">
        <v>379</v>
      </c>
      <c r="M58" s="959"/>
      <c r="N58"/>
      <c r="O58"/>
      <c r="P58"/>
      <c r="Q58"/>
      <c r="R58"/>
      <c r="S58"/>
      <c r="T58"/>
      <c r="U58"/>
      <c r="V58"/>
      <c r="W58"/>
      <c r="X58"/>
      <c r="Y58"/>
      <c r="Z58"/>
      <c r="AA58"/>
      <c r="AB58"/>
      <c r="AC58"/>
      <c r="AD58"/>
    </row>
    <row r="59" spans="1:30" ht="24">
      <c r="A59" s="250">
        <v>31</v>
      </c>
      <c r="B59" s="313" t="s">
        <v>481</v>
      </c>
      <c r="C59" s="827" t="s">
        <v>1787</v>
      </c>
      <c r="D59" s="680">
        <v>133</v>
      </c>
      <c r="E59" s="678" t="s">
        <v>379</v>
      </c>
      <c r="F59" s="680">
        <v>146</v>
      </c>
      <c r="G59" s="680">
        <v>179</v>
      </c>
      <c r="H59" s="680">
        <v>301</v>
      </c>
      <c r="I59" s="680">
        <v>239</v>
      </c>
      <c r="J59" s="680">
        <v>396</v>
      </c>
      <c r="K59" s="678" t="s">
        <v>379</v>
      </c>
      <c r="L59" s="678" t="s">
        <v>379</v>
      </c>
      <c r="M59" s="959"/>
      <c r="N59"/>
      <c r="O59"/>
      <c r="P59"/>
      <c r="Q59"/>
      <c r="R59"/>
      <c r="S59"/>
      <c r="T59"/>
      <c r="U59"/>
      <c r="V59"/>
      <c r="W59"/>
      <c r="X59"/>
      <c r="Y59"/>
      <c r="Z59"/>
      <c r="AA59"/>
      <c r="AB59"/>
      <c r="AC59"/>
      <c r="AD59"/>
    </row>
    <row r="60" spans="1:30" ht="24">
      <c r="A60" s="250">
        <v>32</v>
      </c>
      <c r="B60" s="313" t="s">
        <v>482</v>
      </c>
      <c r="C60" s="827" t="s">
        <v>1787</v>
      </c>
      <c r="D60" s="680">
        <v>112</v>
      </c>
      <c r="E60" s="677" t="s">
        <v>379</v>
      </c>
      <c r="F60" s="680">
        <v>146</v>
      </c>
      <c r="G60" s="680">
        <v>170</v>
      </c>
      <c r="H60" s="680">
        <v>167</v>
      </c>
      <c r="I60" s="680">
        <v>219</v>
      </c>
      <c r="J60" s="680">
        <v>381</v>
      </c>
      <c r="K60" s="677" t="s">
        <v>379</v>
      </c>
      <c r="L60" s="677" t="s">
        <v>379</v>
      </c>
      <c r="M60" s="959"/>
      <c r="N60"/>
      <c r="O60"/>
      <c r="P60"/>
      <c r="Q60"/>
      <c r="R60"/>
      <c r="S60"/>
      <c r="T60"/>
      <c r="U60"/>
      <c r="V60"/>
      <c r="W60"/>
      <c r="X60"/>
      <c r="Y60"/>
      <c r="Z60"/>
      <c r="AA60"/>
      <c r="AB60"/>
      <c r="AC60"/>
      <c r="AD60"/>
    </row>
    <row r="61" spans="1:30" ht="24">
      <c r="A61" s="250">
        <v>33</v>
      </c>
      <c r="B61" s="313" t="s">
        <v>483</v>
      </c>
      <c r="C61" s="827" t="s">
        <v>1787</v>
      </c>
      <c r="D61" s="680">
        <v>138</v>
      </c>
      <c r="E61" s="677" t="s">
        <v>379</v>
      </c>
      <c r="F61" s="680">
        <v>146</v>
      </c>
      <c r="G61" s="680">
        <v>174</v>
      </c>
      <c r="H61" s="680">
        <v>211</v>
      </c>
      <c r="I61" s="680">
        <v>219</v>
      </c>
      <c r="J61" s="680">
        <v>381</v>
      </c>
      <c r="K61" s="677" t="s">
        <v>379</v>
      </c>
      <c r="L61" s="677" t="s">
        <v>379</v>
      </c>
      <c r="M61" s="959"/>
      <c r="N61"/>
      <c r="O61"/>
      <c r="P61"/>
      <c r="Q61"/>
      <c r="R61"/>
      <c r="S61"/>
      <c r="T61"/>
      <c r="U61"/>
      <c r="V61"/>
      <c r="W61"/>
      <c r="X61"/>
      <c r="Y61"/>
      <c r="Z61"/>
      <c r="AA61"/>
      <c r="AB61"/>
      <c r="AC61"/>
      <c r="AD61"/>
    </row>
    <row r="62" spans="1:30" ht="24">
      <c r="A62" s="250">
        <v>34</v>
      </c>
      <c r="B62" s="313" t="s">
        <v>484</v>
      </c>
      <c r="C62" s="827" t="s">
        <v>1787</v>
      </c>
      <c r="D62" s="680">
        <v>148</v>
      </c>
      <c r="E62" s="677" t="s">
        <v>379</v>
      </c>
      <c r="F62" s="680">
        <v>182</v>
      </c>
      <c r="G62" s="680">
        <v>179</v>
      </c>
      <c r="H62" s="677" t="s">
        <v>379</v>
      </c>
      <c r="I62" s="677" t="s">
        <v>379</v>
      </c>
      <c r="J62" s="677" t="s">
        <v>379</v>
      </c>
      <c r="K62" s="677" t="s">
        <v>379</v>
      </c>
      <c r="L62" s="677" t="s">
        <v>379</v>
      </c>
      <c r="M62" s="959"/>
      <c r="N62"/>
      <c r="O62"/>
      <c r="P62"/>
      <c r="Q62"/>
      <c r="R62"/>
      <c r="S62"/>
      <c r="T62"/>
      <c r="U62"/>
      <c r="V62"/>
      <c r="W62"/>
      <c r="X62"/>
      <c r="Y62"/>
      <c r="Z62"/>
      <c r="AA62"/>
      <c r="AB62"/>
      <c r="AC62"/>
      <c r="AD62"/>
    </row>
    <row r="63" spans="1:30" ht="24.75" thickBot="1">
      <c r="A63" s="937">
        <v>35</v>
      </c>
      <c r="B63" s="734" t="s">
        <v>485</v>
      </c>
      <c r="C63" s="960" t="s">
        <v>1787</v>
      </c>
      <c r="D63" s="961">
        <v>151</v>
      </c>
      <c r="E63" s="679" t="s">
        <v>379</v>
      </c>
      <c r="F63" s="679">
        <v>186</v>
      </c>
      <c r="G63" s="961">
        <v>186</v>
      </c>
      <c r="H63" s="679" t="s">
        <v>379</v>
      </c>
      <c r="I63" s="679" t="s">
        <v>379</v>
      </c>
      <c r="J63" s="679" t="s">
        <v>379</v>
      </c>
      <c r="K63" s="679" t="s">
        <v>379</v>
      </c>
      <c r="L63" s="679" t="s">
        <v>379</v>
      </c>
      <c r="M63" s="962"/>
      <c r="N63"/>
      <c r="O63"/>
      <c r="P63"/>
      <c r="Q63"/>
      <c r="R63"/>
      <c r="S63"/>
      <c r="T63"/>
      <c r="U63"/>
      <c r="V63"/>
      <c r="W63"/>
      <c r="X63"/>
      <c r="Y63"/>
      <c r="Z63"/>
      <c r="AA63"/>
      <c r="AB63"/>
      <c r="AC63"/>
      <c r="AD63"/>
    </row>
    <row r="64" spans="1:30" ht="16.5" customHeight="1">
      <c r="D64" s="113"/>
    </row>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sheetData>
  <mergeCells count="24">
    <mergeCell ref="A1:M1"/>
    <mergeCell ref="A26:A31"/>
    <mergeCell ref="B26:B31"/>
    <mergeCell ref="C26:C27"/>
    <mergeCell ref="C28:C29"/>
    <mergeCell ref="C30:C31"/>
    <mergeCell ref="A33:A38"/>
    <mergeCell ref="B34:B38"/>
    <mergeCell ref="C35:C36"/>
    <mergeCell ref="A41:A42"/>
    <mergeCell ref="B41:B42"/>
    <mergeCell ref="C41:C42"/>
    <mergeCell ref="A51:A54"/>
    <mergeCell ref="B51:B54"/>
    <mergeCell ref="C51:C52"/>
    <mergeCell ref="C53:C54"/>
    <mergeCell ref="A43:A46"/>
    <mergeCell ref="B43:B46"/>
    <mergeCell ref="C43:C44"/>
    <mergeCell ref="C45:C46"/>
    <mergeCell ref="A47:A50"/>
    <mergeCell ref="B47:B50"/>
    <mergeCell ref="C47:C48"/>
    <mergeCell ref="C49:C50"/>
  </mergeCells>
  <printOptions horizontalCentered="1"/>
  <pageMargins left="1.24" right="0.19" top="1.03" bottom="0.73" header="0.5" footer="0.56999999999999995"/>
  <pageSetup paperSize="9" scale="65"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rowBreaks count="1" manualBreakCount="1">
    <brk id="50"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3A0A5-AAFB-4A48-9205-3DE401B9BFAC}">
  <sheetPr>
    <tabColor rgb="FF00B050"/>
    <pageSetUpPr fitToPage="1"/>
  </sheetPr>
  <dimension ref="A1:Q37"/>
  <sheetViews>
    <sheetView tabSelected="1" view="pageLayout" zoomScaleNormal="100" zoomScaleSheetLayoutView="100" workbookViewId="0">
      <selection activeCell="D24" sqref="D24"/>
    </sheetView>
  </sheetViews>
  <sheetFormatPr defaultColWidth="9.28515625" defaultRowHeight="12.75"/>
  <cols>
    <col min="1" max="1" width="9.28515625" style="5"/>
    <col min="2" max="2" width="26.5703125" style="5" customWidth="1"/>
    <col min="3" max="3" width="8.42578125" style="5" customWidth="1"/>
    <col min="4" max="4" width="10.5703125" style="5" customWidth="1"/>
    <col min="5" max="6" width="12" style="5" customWidth="1"/>
    <col min="7" max="7" width="16" style="5" customWidth="1"/>
    <col min="8" max="9" width="9.28515625" style="5"/>
    <col min="10" max="10" width="10.7109375" style="5" hidden="1" customWidth="1"/>
    <col min="11" max="11" width="11.28515625" style="5" hidden="1" customWidth="1"/>
    <col min="12" max="12" width="10.7109375" style="5" hidden="1" customWidth="1"/>
    <col min="13" max="13" width="10.28515625" style="5" hidden="1" customWidth="1"/>
    <col min="14" max="14" width="11.28515625" style="5" hidden="1" customWidth="1"/>
    <col min="15" max="16384" width="9.28515625" style="5"/>
  </cols>
  <sheetData>
    <row r="1" spans="1:17" ht="26.25" customHeight="1" thickBot="1">
      <c r="A1" s="1653" t="s">
        <v>2290</v>
      </c>
      <c r="B1" s="1653"/>
      <c r="C1" s="1653"/>
      <c r="D1" s="1653"/>
      <c r="E1" s="1653"/>
      <c r="F1" s="1653"/>
      <c r="G1" s="1653"/>
      <c r="H1" s="1653"/>
      <c r="I1"/>
      <c r="J1"/>
      <c r="K1"/>
      <c r="L1"/>
      <c r="M1"/>
      <c r="N1"/>
      <c r="O1"/>
      <c r="P1"/>
      <c r="Q1"/>
    </row>
    <row r="2" spans="1:17" ht="18" customHeight="1">
      <c r="A2" s="1654" t="s">
        <v>1876</v>
      </c>
      <c r="B2" s="1656" t="s">
        <v>1840</v>
      </c>
      <c r="C2" s="1656" t="s">
        <v>2154</v>
      </c>
      <c r="D2" s="1656" t="s">
        <v>2153</v>
      </c>
      <c r="E2" s="1656"/>
      <c r="F2" s="1656"/>
      <c r="G2" s="1656"/>
      <c r="H2" s="1658" t="s">
        <v>2023</v>
      </c>
      <c r="I2"/>
      <c r="J2"/>
      <c r="K2"/>
      <c r="L2"/>
      <c r="M2"/>
      <c r="N2"/>
      <c r="O2"/>
      <c r="P2"/>
    </row>
    <row r="3" spans="1:17" ht="18" customHeight="1" thickBot="1">
      <c r="A3" s="1655"/>
      <c r="B3" s="1657"/>
      <c r="C3" s="1657"/>
      <c r="D3" s="578" t="s">
        <v>404</v>
      </c>
      <c r="E3" s="578" t="s">
        <v>406</v>
      </c>
      <c r="F3" s="578" t="s">
        <v>408</v>
      </c>
      <c r="G3" s="578" t="s">
        <v>487</v>
      </c>
      <c r="H3" s="1659"/>
      <c r="I3"/>
      <c r="J3"/>
      <c r="K3"/>
      <c r="L3"/>
      <c r="M3"/>
      <c r="N3"/>
      <c r="O3"/>
      <c r="P3"/>
    </row>
    <row r="4" spans="1:17" ht="21" customHeight="1">
      <c r="A4" s="569">
        <v>1</v>
      </c>
      <c r="B4" s="304" t="s">
        <v>488</v>
      </c>
      <c r="C4" s="305" t="s">
        <v>489</v>
      </c>
      <c r="D4" s="668">
        <v>34</v>
      </c>
      <c r="E4" s="668">
        <v>83</v>
      </c>
      <c r="F4" s="668">
        <v>141</v>
      </c>
      <c r="G4" s="668">
        <v>377</v>
      </c>
      <c r="H4" s="577"/>
      <c r="I4"/>
      <c r="J4"/>
      <c r="K4"/>
      <c r="L4"/>
      <c r="M4"/>
      <c r="N4"/>
      <c r="O4"/>
      <c r="P4"/>
    </row>
    <row r="5" spans="1:17" ht="21" customHeight="1">
      <c r="A5" s="570">
        <v>2</v>
      </c>
      <c r="B5" s="306" t="s">
        <v>490</v>
      </c>
      <c r="C5" s="307" t="s">
        <v>489</v>
      </c>
      <c r="D5" s="669">
        <v>51</v>
      </c>
      <c r="E5" s="669">
        <v>120</v>
      </c>
      <c r="F5" s="669">
        <v>221</v>
      </c>
      <c r="G5" s="669">
        <v>500</v>
      </c>
      <c r="H5" s="574"/>
      <c r="I5"/>
      <c r="J5"/>
      <c r="K5"/>
      <c r="L5"/>
      <c r="M5"/>
      <c r="N5"/>
      <c r="O5"/>
      <c r="P5"/>
    </row>
    <row r="6" spans="1:17" ht="21" customHeight="1">
      <c r="A6" s="570">
        <v>3</v>
      </c>
      <c r="B6" s="306" t="s">
        <v>491</v>
      </c>
      <c r="C6" s="307" t="s">
        <v>489</v>
      </c>
      <c r="D6" s="669">
        <v>49</v>
      </c>
      <c r="E6" s="669">
        <v>96</v>
      </c>
      <c r="F6" s="669">
        <v>175</v>
      </c>
      <c r="G6" s="669">
        <v>530</v>
      </c>
      <c r="H6" s="574"/>
      <c r="I6"/>
      <c r="J6"/>
      <c r="K6"/>
      <c r="L6"/>
      <c r="M6"/>
      <c r="N6"/>
      <c r="O6"/>
      <c r="P6"/>
    </row>
    <row r="7" spans="1:17" ht="21" customHeight="1">
      <c r="A7" s="570">
        <v>4</v>
      </c>
      <c r="B7" s="306" t="s">
        <v>492</v>
      </c>
      <c r="C7" s="307" t="s">
        <v>489</v>
      </c>
      <c r="D7" s="669">
        <v>75</v>
      </c>
      <c r="E7" s="669">
        <v>162</v>
      </c>
      <c r="F7" s="669">
        <v>308</v>
      </c>
      <c r="G7" s="669">
        <v>683</v>
      </c>
      <c r="H7" s="574"/>
      <c r="I7"/>
      <c r="J7"/>
      <c r="K7"/>
      <c r="L7"/>
      <c r="M7"/>
      <c r="N7"/>
      <c r="O7"/>
      <c r="P7"/>
    </row>
    <row r="8" spans="1:17" ht="21" customHeight="1">
      <c r="A8" s="570">
        <v>5</v>
      </c>
      <c r="B8" s="306" t="s">
        <v>493</v>
      </c>
      <c r="C8" s="307" t="s">
        <v>489</v>
      </c>
      <c r="D8" s="669">
        <v>16</v>
      </c>
      <c r="E8" s="669">
        <v>31</v>
      </c>
      <c r="F8" s="669">
        <v>41</v>
      </c>
      <c r="G8" s="669">
        <v>79</v>
      </c>
      <c r="H8" s="574"/>
      <c r="I8"/>
      <c r="J8"/>
      <c r="K8"/>
      <c r="L8"/>
      <c r="M8"/>
      <c r="N8"/>
      <c r="O8"/>
      <c r="P8"/>
    </row>
    <row r="9" spans="1:17" ht="21" customHeight="1">
      <c r="A9" s="570">
        <v>6</v>
      </c>
      <c r="B9" s="306" t="s">
        <v>494</v>
      </c>
      <c r="C9" s="307" t="s">
        <v>489</v>
      </c>
      <c r="D9" s="670" t="s">
        <v>379</v>
      </c>
      <c r="E9" s="669">
        <v>153</v>
      </c>
      <c r="F9" s="669">
        <v>267</v>
      </c>
      <c r="G9" s="669">
        <v>774</v>
      </c>
      <c r="H9" s="574"/>
      <c r="I9"/>
      <c r="J9"/>
      <c r="K9"/>
      <c r="L9"/>
      <c r="M9"/>
      <c r="N9"/>
      <c r="O9"/>
      <c r="P9"/>
    </row>
    <row r="10" spans="1:17" ht="21" customHeight="1">
      <c r="A10" s="570">
        <v>7</v>
      </c>
      <c r="B10" s="306" t="s">
        <v>495</v>
      </c>
      <c r="C10" s="307" t="s">
        <v>489</v>
      </c>
      <c r="D10" s="670" t="s">
        <v>379</v>
      </c>
      <c r="E10" s="669">
        <v>219</v>
      </c>
      <c r="F10" s="669">
        <v>407</v>
      </c>
      <c r="G10" s="669">
        <v>1023</v>
      </c>
      <c r="H10" s="574"/>
      <c r="I10"/>
      <c r="J10"/>
      <c r="K10"/>
      <c r="L10"/>
      <c r="M10"/>
      <c r="N10"/>
      <c r="O10"/>
      <c r="P10"/>
    </row>
    <row r="11" spans="1:17" ht="21" customHeight="1">
      <c r="A11" s="570">
        <v>8</v>
      </c>
      <c r="B11" s="306" t="s">
        <v>496</v>
      </c>
      <c r="C11" s="307" t="s">
        <v>489</v>
      </c>
      <c r="D11" s="670" t="s">
        <v>379</v>
      </c>
      <c r="E11" s="669">
        <v>356</v>
      </c>
      <c r="F11" s="669">
        <v>563</v>
      </c>
      <c r="G11" s="670" t="s">
        <v>379</v>
      </c>
      <c r="H11" s="574"/>
      <c r="I11"/>
      <c r="J11"/>
      <c r="K11"/>
      <c r="L11"/>
      <c r="M11"/>
      <c r="N11"/>
      <c r="O11"/>
      <c r="P11"/>
    </row>
    <row r="12" spans="1:17" ht="21" customHeight="1">
      <c r="A12" s="570">
        <v>9</v>
      </c>
      <c r="B12" s="306" t="s">
        <v>497</v>
      </c>
      <c r="C12" s="307" t="s">
        <v>489</v>
      </c>
      <c r="D12" s="670" t="s">
        <v>379</v>
      </c>
      <c r="E12" s="669">
        <v>473</v>
      </c>
      <c r="F12" s="669">
        <v>732</v>
      </c>
      <c r="G12" s="670" t="s">
        <v>379</v>
      </c>
      <c r="H12" s="574"/>
      <c r="I12"/>
      <c r="J12"/>
      <c r="K12"/>
      <c r="L12"/>
      <c r="M12"/>
      <c r="N12"/>
      <c r="O12"/>
      <c r="P12"/>
    </row>
    <row r="13" spans="1:17" ht="21" customHeight="1">
      <c r="A13" s="570">
        <v>10</v>
      </c>
      <c r="B13" s="306" t="s">
        <v>498</v>
      </c>
      <c r="C13" s="307" t="s">
        <v>489</v>
      </c>
      <c r="D13" s="670" t="s">
        <v>379</v>
      </c>
      <c r="E13" s="669">
        <v>58</v>
      </c>
      <c r="F13" s="669">
        <v>97</v>
      </c>
      <c r="G13" s="670" t="s">
        <v>379</v>
      </c>
      <c r="H13" s="574"/>
      <c r="I13"/>
      <c r="J13"/>
      <c r="K13"/>
      <c r="L13"/>
      <c r="M13"/>
      <c r="N13"/>
      <c r="O13"/>
      <c r="P13"/>
    </row>
    <row r="14" spans="1:17" ht="21" customHeight="1">
      <c r="A14" s="570">
        <v>11</v>
      </c>
      <c r="B14" s="306" t="s">
        <v>499</v>
      </c>
      <c r="C14" s="307" t="s">
        <v>489</v>
      </c>
      <c r="D14" s="670" t="s">
        <v>379</v>
      </c>
      <c r="E14" s="669">
        <v>73</v>
      </c>
      <c r="F14" s="669">
        <v>119</v>
      </c>
      <c r="G14" s="670" t="s">
        <v>379</v>
      </c>
      <c r="H14" s="574"/>
      <c r="I14"/>
      <c r="J14"/>
      <c r="K14"/>
      <c r="L14"/>
      <c r="M14"/>
      <c r="N14"/>
      <c r="O14"/>
      <c r="P14"/>
    </row>
    <row r="15" spans="1:17" ht="21" customHeight="1">
      <c r="A15" s="570">
        <v>12</v>
      </c>
      <c r="B15" s="306" t="s">
        <v>500</v>
      </c>
      <c r="C15" s="307" t="s">
        <v>489</v>
      </c>
      <c r="D15" s="670" t="s">
        <v>379</v>
      </c>
      <c r="E15" s="669">
        <v>208</v>
      </c>
      <c r="F15" s="669">
        <v>401</v>
      </c>
      <c r="G15" s="670" t="s">
        <v>379</v>
      </c>
      <c r="H15" s="574"/>
      <c r="I15"/>
      <c r="J15"/>
      <c r="K15"/>
      <c r="L15"/>
      <c r="M15"/>
      <c r="N15"/>
      <c r="O15"/>
      <c r="P15"/>
    </row>
    <row r="16" spans="1:17" ht="24">
      <c r="A16" s="570">
        <v>13</v>
      </c>
      <c r="B16" s="572" t="s">
        <v>501</v>
      </c>
      <c r="C16" s="307" t="s">
        <v>489</v>
      </c>
      <c r="D16" s="670" t="s">
        <v>379</v>
      </c>
      <c r="E16" s="669">
        <v>254</v>
      </c>
      <c r="F16" s="669">
        <v>484</v>
      </c>
      <c r="G16" s="670" t="s">
        <v>379</v>
      </c>
      <c r="H16" s="574"/>
      <c r="I16"/>
      <c r="J16"/>
      <c r="K16"/>
      <c r="L16"/>
      <c r="M16"/>
      <c r="N16"/>
      <c r="O16"/>
      <c r="P16"/>
    </row>
    <row r="17" spans="1:16" ht="21" customHeight="1">
      <c r="A17" s="570">
        <v>14</v>
      </c>
      <c r="B17" s="306" t="s">
        <v>502</v>
      </c>
      <c r="C17" s="307" t="s">
        <v>489</v>
      </c>
      <c r="D17" s="670" t="s">
        <v>379</v>
      </c>
      <c r="E17" s="669">
        <v>280</v>
      </c>
      <c r="F17" s="669">
        <v>552</v>
      </c>
      <c r="G17" s="670" t="s">
        <v>379</v>
      </c>
      <c r="H17" s="574"/>
      <c r="I17"/>
      <c r="J17"/>
      <c r="K17"/>
      <c r="L17"/>
      <c r="M17"/>
      <c r="N17"/>
      <c r="O17"/>
      <c r="P17"/>
    </row>
    <row r="18" spans="1:16" ht="21" customHeight="1">
      <c r="A18" s="570">
        <v>15</v>
      </c>
      <c r="B18" s="572" t="s">
        <v>503</v>
      </c>
      <c r="C18" s="307" t="s">
        <v>489</v>
      </c>
      <c r="D18" s="670" t="s">
        <v>379</v>
      </c>
      <c r="E18" s="669">
        <v>358</v>
      </c>
      <c r="F18" s="669">
        <v>578</v>
      </c>
      <c r="G18" s="670" t="s">
        <v>379</v>
      </c>
      <c r="H18" s="574"/>
      <c r="I18"/>
      <c r="J18"/>
      <c r="K18"/>
      <c r="L18"/>
      <c r="M18"/>
      <c r="N18"/>
      <c r="O18"/>
      <c r="P18"/>
    </row>
    <row r="19" spans="1:16" ht="24">
      <c r="A19" s="570">
        <v>16</v>
      </c>
      <c r="B19" s="572" t="s">
        <v>504</v>
      </c>
      <c r="C19" s="307" t="s">
        <v>489</v>
      </c>
      <c r="D19" s="670" t="s">
        <v>379</v>
      </c>
      <c r="E19" s="669">
        <v>163</v>
      </c>
      <c r="F19" s="669">
        <v>314</v>
      </c>
      <c r="G19" s="670" t="s">
        <v>379</v>
      </c>
      <c r="H19" s="574"/>
      <c r="I19"/>
      <c r="J19"/>
      <c r="K19"/>
      <c r="L19"/>
      <c r="M19"/>
      <c r="N19"/>
      <c r="O19"/>
      <c r="P19"/>
    </row>
    <row r="20" spans="1:16" ht="21" customHeight="1">
      <c r="A20" s="570">
        <v>17</v>
      </c>
      <c r="B20" s="306" t="s">
        <v>505</v>
      </c>
      <c r="C20" s="307" t="s">
        <v>489</v>
      </c>
      <c r="D20" s="670" t="s">
        <v>379</v>
      </c>
      <c r="E20" s="670" t="s">
        <v>379</v>
      </c>
      <c r="F20" s="669"/>
      <c r="G20" s="670">
        <v>365</v>
      </c>
      <c r="H20" s="574"/>
      <c r="I20"/>
      <c r="J20"/>
      <c r="K20"/>
      <c r="L20"/>
      <c r="M20"/>
      <c r="N20"/>
      <c r="O20"/>
      <c r="P20"/>
    </row>
    <row r="21" spans="1:16" ht="21" customHeight="1">
      <c r="A21" s="570">
        <v>18</v>
      </c>
      <c r="B21" s="306" t="s">
        <v>506</v>
      </c>
      <c r="C21" s="307" t="s">
        <v>489</v>
      </c>
      <c r="D21" s="670" t="s">
        <v>379</v>
      </c>
      <c r="E21" s="670" t="s">
        <v>379</v>
      </c>
      <c r="F21" s="669">
        <v>145</v>
      </c>
      <c r="G21" s="670" t="s">
        <v>379</v>
      </c>
      <c r="H21" s="574"/>
      <c r="I21"/>
      <c r="J21"/>
      <c r="K21"/>
      <c r="L21"/>
      <c r="M21"/>
      <c r="N21"/>
      <c r="O21"/>
      <c r="P21"/>
    </row>
    <row r="22" spans="1:16" ht="21" customHeight="1">
      <c r="A22" s="570">
        <v>19</v>
      </c>
      <c r="B22" s="306" t="s">
        <v>507</v>
      </c>
      <c r="C22" s="307" t="s">
        <v>489</v>
      </c>
      <c r="D22" s="670" t="s">
        <v>379</v>
      </c>
      <c r="E22" s="670">
        <v>77</v>
      </c>
      <c r="F22" s="669"/>
      <c r="G22" s="670" t="s">
        <v>379</v>
      </c>
      <c r="H22" s="574"/>
      <c r="I22"/>
      <c r="J22"/>
      <c r="K22"/>
      <c r="L22"/>
      <c r="M22"/>
      <c r="N22"/>
      <c r="O22"/>
      <c r="P22"/>
    </row>
    <row r="23" spans="1:16" ht="21" customHeight="1">
      <c r="A23" s="570">
        <v>20</v>
      </c>
      <c r="B23" s="573" t="s">
        <v>508</v>
      </c>
      <c r="C23" s="307" t="s">
        <v>489</v>
      </c>
      <c r="D23" s="670" t="s">
        <v>379</v>
      </c>
      <c r="E23" s="670" t="s">
        <v>379</v>
      </c>
      <c r="F23" s="669">
        <v>596</v>
      </c>
      <c r="G23" s="670" t="s">
        <v>379</v>
      </c>
      <c r="H23" s="574"/>
      <c r="I23"/>
      <c r="J23"/>
      <c r="K23"/>
      <c r="L23"/>
      <c r="M23"/>
      <c r="N23"/>
      <c r="O23"/>
      <c r="P23"/>
    </row>
    <row r="24" spans="1:16" ht="21" customHeight="1">
      <c r="A24" s="570">
        <v>21</v>
      </c>
      <c r="B24" s="573" t="s">
        <v>509</v>
      </c>
      <c r="C24" s="307" t="s">
        <v>489</v>
      </c>
      <c r="D24" s="670" t="s">
        <v>379</v>
      </c>
      <c r="E24" s="670" t="s">
        <v>379</v>
      </c>
      <c r="F24" s="669">
        <v>558</v>
      </c>
      <c r="G24" s="670" t="s">
        <v>379</v>
      </c>
      <c r="H24" s="574"/>
      <c r="I24"/>
      <c r="J24"/>
      <c r="K24"/>
      <c r="L24"/>
      <c r="M24"/>
      <c r="N24"/>
      <c r="O24"/>
      <c r="P24"/>
    </row>
    <row r="25" spans="1:16" ht="21" customHeight="1">
      <c r="A25" s="570">
        <v>22</v>
      </c>
      <c r="B25" s="573" t="s">
        <v>510</v>
      </c>
      <c r="C25" s="307" t="s">
        <v>489</v>
      </c>
      <c r="D25" s="670" t="s">
        <v>379</v>
      </c>
      <c r="E25" s="670">
        <v>214</v>
      </c>
      <c r="F25" s="669"/>
      <c r="G25" s="670" t="s">
        <v>379</v>
      </c>
      <c r="H25" s="574"/>
      <c r="I25"/>
      <c r="J25"/>
      <c r="K25"/>
      <c r="L25"/>
      <c r="M25"/>
      <c r="N25"/>
      <c r="O25"/>
      <c r="P25"/>
    </row>
    <row r="26" spans="1:16" ht="21" customHeight="1">
      <c r="A26" s="570">
        <v>23</v>
      </c>
      <c r="B26" s="306" t="s">
        <v>511</v>
      </c>
      <c r="C26" s="307" t="s">
        <v>489</v>
      </c>
      <c r="D26" s="670" t="s">
        <v>379</v>
      </c>
      <c r="E26" s="670" t="s">
        <v>379</v>
      </c>
      <c r="F26" s="669">
        <v>310</v>
      </c>
      <c r="G26" s="670" t="s">
        <v>379</v>
      </c>
      <c r="H26" s="574"/>
      <c r="I26"/>
      <c r="J26"/>
      <c r="K26"/>
      <c r="L26"/>
      <c r="M26"/>
      <c r="N26"/>
      <c r="O26"/>
      <c r="P26"/>
    </row>
    <row r="27" spans="1:16" ht="21" customHeight="1">
      <c r="A27" s="570">
        <v>24</v>
      </c>
      <c r="B27" s="306" t="s">
        <v>512</v>
      </c>
      <c r="C27" s="307" t="s">
        <v>489</v>
      </c>
      <c r="D27" s="670" t="s">
        <v>379</v>
      </c>
      <c r="E27" s="670" t="s">
        <v>379</v>
      </c>
      <c r="F27" s="669">
        <v>282</v>
      </c>
      <c r="G27" s="670" t="s">
        <v>379</v>
      </c>
      <c r="H27" s="574"/>
      <c r="I27"/>
      <c r="J27"/>
      <c r="K27"/>
      <c r="L27"/>
      <c r="M27"/>
      <c r="N27"/>
      <c r="O27"/>
      <c r="P27"/>
    </row>
    <row r="28" spans="1:16" ht="21" customHeight="1">
      <c r="A28" s="570">
        <v>25</v>
      </c>
      <c r="B28" s="306" t="s">
        <v>513</v>
      </c>
      <c r="C28" s="307" t="s">
        <v>489</v>
      </c>
      <c r="D28" s="670" t="s">
        <v>379</v>
      </c>
      <c r="E28" s="670" t="s">
        <v>379</v>
      </c>
      <c r="F28" s="669">
        <v>421</v>
      </c>
      <c r="G28" s="670" t="s">
        <v>379</v>
      </c>
      <c r="H28" s="574"/>
      <c r="I28"/>
      <c r="J28"/>
      <c r="K28"/>
      <c r="L28"/>
      <c r="M28"/>
      <c r="N28"/>
      <c r="O28"/>
      <c r="P28"/>
    </row>
    <row r="29" spans="1:16" ht="21" customHeight="1">
      <c r="A29" s="570">
        <v>26</v>
      </c>
      <c r="B29" s="306" t="s">
        <v>514</v>
      </c>
      <c r="C29" s="307" t="s">
        <v>489</v>
      </c>
      <c r="D29" s="670" t="s">
        <v>379</v>
      </c>
      <c r="E29" s="670" t="s">
        <v>379</v>
      </c>
      <c r="F29" s="669">
        <v>93</v>
      </c>
      <c r="G29" s="670" t="s">
        <v>379</v>
      </c>
      <c r="H29" s="574"/>
      <c r="I29"/>
      <c r="J29"/>
      <c r="K29"/>
      <c r="L29"/>
      <c r="M29"/>
      <c r="N29"/>
      <c r="O29"/>
      <c r="P29"/>
    </row>
    <row r="30" spans="1:16" ht="21" customHeight="1">
      <c r="A30" s="570">
        <v>27</v>
      </c>
      <c r="B30" s="306" t="s">
        <v>515</v>
      </c>
      <c r="C30" s="307" t="s">
        <v>489</v>
      </c>
      <c r="D30" s="670" t="s">
        <v>379</v>
      </c>
      <c r="E30" s="670" t="s">
        <v>379</v>
      </c>
      <c r="F30" s="669">
        <v>42</v>
      </c>
      <c r="G30" s="670" t="s">
        <v>379</v>
      </c>
      <c r="H30" s="574"/>
      <c r="I30"/>
      <c r="J30"/>
      <c r="K30"/>
      <c r="L30"/>
      <c r="M30"/>
      <c r="N30"/>
      <c r="O30"/>
      <c r="P30"/>
    </row>
    <row r="31" spans="1:16" ht="21" customHeight="1" thickBot="1">
      <c r="A31" s="571">
        <v>28</v>
      </c>
      <c r="B31" s="308" t="s">
        <v>516</v>
      </c>
      <c r="C31" s="575" t="s">
        <v>489</v>
      </c>
      <c r="D31" s="671">
        <v>27</v>
      </c>
      <c r="E31" s="671" t="s">
        <v>379</v>
      </c>
      <c r="F31" s="672"/>
      <c r="G31" s="671" t="s">
        <v>379</v>
      </c>
      <c r="H31" s="576"/>
      <c r="I31"/>
      <c r="J31"/>
      <c r="K31"/>
      <c r="L31"/>
      <c r="M31"/>
      <c r="N31"/>
      <c r="O31"/>
      <c r="P31"/>
    </row>
    <row r="32" spans="1:16" ht="21" customHeight="1"/>
    <row r="33" ht="21" customHeight="1"/>
    <row r="34" ht="21" customHeight="1"/>
    <row r="35" ht="21" customHeight="1"/>
    <row r="36" ht="21" customHeight="1"/>
    <row r="37" ht="21" customHeight="1"/>
  </sheetData>
  <mergeCells count="6">
    <mergeCell ref="A1:H1"/>
    <mergeCell ref="A2:A3"/>
    <mergeCell ref="B2:B3"/>
    <mergeCell ref="C2:C3"/>
    <mergeCell ref="D2:G2"/>
    <mergeCell ref="H2:H3"/>
  </mergeCells>
  <printOptions horizontalCentered="1"/>
  <pageMargins left="1.24" right="0.19" top="1.03" bottom="0.73" header="0.5" footer="0.56999999999999995"/>
  <pageSetup paperSize="9" scale="83"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9AC59-F53D-4DCC-ABD7-898588020A2D}">
  <sheetPr>
    <tabColor rgb="FF00B050"/>
    <pageSetUpPr fitToPage="1"/>
  </sheetPr>
  <dimension ref="A1:S464"/>
  <sheetViews>
    <sheetView tabSelected="1" view="pageLayout" zoomScaleNormal="100" zoomScaleSheetLayoutView="110" workbookViewId="0">
      <selection activeCell="D24" sqref="D24"/>
    </sheetView>
  </sheetViews>
  <sheetFormatPr defaultColWidth="9.28515625" defaultRowHeight="15"/>
  <cols>
    <col min="1" max="1" width="6.5703125" style="60" customWidth="1"/>
    <col min="2" max="2" width="35.28515625" style="61" customWidth="1"/>
    <col min="3" max="3" width="10.28515625" style="1019" customWidth="1"/>
    <col min="4" max="4" width="4.42578125" style="60" hidden="1" customWidth="1"/>
    <col min="5" max="5" width="9.7109375" style="62" hidden="1" customWidth="1"/>
    <col min="6" max="6" width="10.28515625" style="62" hidden="1" customWidth="1"/>
    <col min="7" max="7" width="4.42578125" style="62" hidden="1" customWidth="1"/>
    <col min="8" max="8" width="11.5703125" style="62" hidden="1" customWidth="1"/>
    <col min="9" max="9" width="12" style="62" hidden="1" customWidth="1"/>
    <col min="10" max="12" width="12.28515625" style="62" hidden="1" customWidth="1"/>
    <col min="13" max="13" width="15.42578125" style="62" hidden="1" customWidth="1"/>
    <col min="14" max="14" width="14" style="13" hidden="1" customWidth="1"/>
    <col min="15" max="15" width="13.28515625" style="13" customWidth="1"/>
    <col min="16" max="17" width="14.140625" style="13" customWidth="1"/>
    <col min="18" max="18" width="9.28515625" style="13"/>
    <col min="19" max="19" width="11.5703125" style="13" customWidth="1"/>
    <col min="20" max="16384" width="9.28515625" style="13"/>
  </cols>
  <sheetData>
    <row r="1" spans="1:18" ht="28.5">
      <c r="A1" s="1660" t="s">
        <v>2155</v>
      </c>
      <c r="B1" s="1660"/>
      <c r="C1" s="1660"/>
      <c r="D1" s="1660"/>
      <c r="E1" s="1660"/>
      <c r="F1" s="1660"/>
      <c r="G1" s="1660"/>
      <c r="H1" s="1660"/>
      <c r="I1" s="1660"/>
      <c r="J1" s="1660"/>
      <c r="K1" s="1660"/>
      <c r="L1" s="1660"/>
      <c r="M1" s="1660"/>
      <c r="N1" s="1660"/>
      <c r="O1" s="1660"/>
      <c r="P1" s="1660"/>
      <c r="Q1" s="1660"/>
      <c r="R1" s="1660"/>
    </row>
    <row r="2" spans="1:18" ht="56.25" customHeight="1">
      <c r="A2" s="367" t="s">
        <v>0</v>
      </c>
      <c r="B2" s="367" t="s">
        <v>51</v>
      </c>
      <c r="C2" s="367" t="s">
        <v>8</v>
      </c>
      <c r="D2" s="318" t="s">
        <v>52</v>
      </c>
      <c r="E2" s="319" t="s">
        <v>53</v>
      </c>
      <c r="F2" s="319" t="s">
        <v>54</v>
      </c>
      <c r="G2" s="319" t="s">
        <v>55</v>
      </c>
      <c r="H2" s="320" t="s">
        <v>1415</v>
      </c>
      <c r="I2" s="320" t="s">
        <v>1419</v>
      </c>
      <c r="J2" s="320" t="s">
        <v>1417</v>
      </c>
      <c r="K2" s="320" t="s">
        <v>1428</v>
      </c>
      <c r="L2" s="320" t="s">
        <v>1432</v>
      </c>
      <c r="M2" s="320" t="s">
        <v>1463</v>
      </c>
      <c r="N2" s="579" t="s">
        <v>2190</v>
      </c>
      <c r="O2" s="579" t="s">
        <v>2191</v>
      </c>
      <c r="P2" s="579" t="s">
        <v>2192</v>
      </c>
      <c r="Q2" s="579" t="s">
        <v>2543</v>
      </c>
      <c r="R2" s="367" t="s">
        <v>9</v>
      </c>
    </row>
    <row r="3" spans="1:18" ht="15" customHeight="1">
      <c r="A3" s="601">
        <v>1</v>
      </c>
      <c r="B3" s="602" t="s">
        <v>517</v>
      </c>
      <c r="C3" s="1399"/>
      <c r="D3" s="1400"/>
      <c r="E3" s="1400"/>
      <c r="F3" s="1400"/>
      <c r="G3" s="1400"/>
      <c r="H3" s="1401"/>
      <c r="I3" s="1401"/>
      <c r="J3" s="1401"/>
      <c r="K3" s="1401"/>
      <c r="L3" s="1401"/>
      <c r="M3" s="1401"/>
      <c r="N3" s="1402"/>
      <c r="O3" s="1402"/>
      <c r="P3" s="1402"/>
      <c r="Q3" s="1402"/>
      <c r="R3" s="606"/>
    </row>
    <row r="4" spans="1:18" ht="17.25">
      <c r="A4" s="608">
        <f>A3+0.01</f>
        <v>1.01</v>
      </c>
      <c r="B4" s="24" t="s">
        <v>518</v>
      </c>
      <c r="C4" s="37" t="s">
        <v>519</v>
      </c>
      <c r="D4" s="1403"/>
      <c r="E4" s="1404"/>
      <c r="F4" s="1404"/>
      <c r="G4" s="1404"/>
      <c r="H4" s="1404">
        <v>850</v>
      </c>
      <c r="I4" s="1405">
        <v>850</v>
      </c>
      <c r="J4" s="1405">
        <f>I4</f>
        <v>850</v>
      </c>
      <c r="K4" s="1405">
        <f>J4</f>
        <v>850</v>
      </c>
      <c r="L4" s="1405">
        <f>K4</f>
        <v>850</v>
      </c>
      <c r="M4" s="1405">
        <f>L4*1.1</f>
        <v>935.00000000000011</v>
      </c>
      <c r="N4" s="1403">
        <f>M4</f>
        <v>935.00000000000011</v>
      </c>
      <c r="O4" s="1403">
        <f>N4</f>
        <v>935.00000000000011</v>
      </c>
      <c r="P4" s="1403">
        <f>O4</f>
        <v>935.00000000000011</v>
      </c>
      <c r="Q4" s="1403">
        <v>935.00000000000011</v>
      </c>
      <c r="R4" s="25"/>
    </row>
    <row r="5" spans="1:18" ht="17.25">
      <c r="A5" s="608">
        <f t="shared" ref="A5:A8" si="0">A4+0.01</f>
        <v>1.02</v>
      </c>
      <c r="B5" s="24" t="s">
        <v>520</v>
      </c>
      <c r="C5" s="37" t="s">
        <v>519</v>
      </c>
      <c r="D5" s="1403"/>
      <c r="E5" s="1404"/>
      <c r="F5" s="1404"/>
      <c r="G5" s="1404"/>
      <c r="H5" s="1404">
        <v>2520</v>
      </c>
      <c r="I5" s="1405">
        <v>2520</v>
      </c>
      <c r="J5" s="1405">
        <f t="shared" ref="J5:L68" si="1">I5</f>
        <v>2520</v>
      </c>
      <c r="K5" s="1405">
        <f t="shared" si="1"/>
        <v>2520</v>
      </c>
      <c r="L5" s="1405">
        <f t="shared" si="1"/>
        <v>2520</v>
      </c>
      <c r="M5" s="1405">
        <f t="shared" ref="M5:M68" si="2">L5*1.1</f>
        <v>2772</v>
      </c>
      <c r="N5" s="1403">
        <f t="shared" ref="N5:P68" si="3">M5</f>
        <v>2772</v>
      </c>
      <c r="O5" s="1403">
        <f t="shared" si="3"/>
        <v>2772</v>
      </c>
      <c r="P5" s="1403">
        <f t="shared" si="3"/>
        <v>2772</v>
      </c>
      <c r="Q5" s="1403">
        <v>2772</v>
      </c>
      <c r="R5" s="25"/>
    </row>
    <row r="6" spans="1:18" ht="17.25">
      <c r="A6" s="608">
        <f t="shared" si="0"/>
        <v>1.03</v>
      </c>
      <c r="B6" s="24" t="s">
        <v>521</v>
      </c>
      <c r="C6" s="37" t="s">
        <v>519</v>
      </c>
      <c r="D6" s="1403"/>
      <c r="E6" s="1404"/>
      <c r="F6" s="1404"/>
      <c r="G6" s="1404"/>
      <c r="H6" s="1404">
        <v>4500</v>
      </c>
      <c r="I6" s="1405">
        <v>4500</v>
      </c>
      <c r="J6" s="1405">
        <f t="shared" si="1"/>
        <v>4500</v>
      </c>
      <c r="K6" s="1405">
        <f t="shared" si="1"/>
        <v>4500</v>
      </c>
      <c r="L6" s="1405">
        <f t="shared" si="1"/>
        <v>4500</v>
      </c>
      <c r="M6" s="1405">
        <f t="shared" si="2"/>
        <v>4950</v>
      </c>
      <c r="N6" s="1403">
        <f t="shared" si="3"/>
        <v>4950</v>
      </c>
      <c r="O6" s="1403">
        <f t="shared" si="3"/>
        <v>4950</v>
      </c>
      <c r="P6" s="1403">
        <f t="shared" si="3"/>
        <v>4950</v>
      </c>
      <c r="Q6" s="1403">
        <v>4950</v>
      </c>
      <c r="R6" s="25"/>
    </row>
    <row r="7" spans="1:18" ht="17.25">
      <c r="A7" s="608">
        <f t="shared" si="0"/>
        <v>1.04</v>
      </c>
      <c r="B7" s="24" t="s">
        <v>522</v>
      </c>
      <c r="C7" s="37" t="s">
        <v>519</v>
      </c>
      <c r="D7" s="1403"/>
      <c r="E7" s="1404"/>
      <c r="F7" s="1404"/>
      <c r="G7" s="1404"/>
      <c r="H7" s="1404">
        <v>1050</v>
      </c>
      <c r="I7" s="1405">
        <v>1050</v>
      </c>
      <c r="J7" s="1405">
        <f t="shared" si="1"/>
        <v>1050</v>
      </c>
      <c r="K7" s="1405">
        <f t="shared" si="1"/>
        <v>1050</v>
      </c>
      <c r="L7" s="1405">
        <f t="shared" si="1"/>
        <v>1050</v>
      </c>
      <c r="M7" s="1405">
        <f t="shared" si="2"/>
        <v>1155</v>
      </c>
      <c r="N7" s="1403">
        <f t="shared" si="3"/>
        <v>1155</v>
      </c>
      <c r="O7" s="1403">
        <f t="shared" si="3"/>
        <v>1155</v>
      </c>
      <c r="P7" s="1403">
        <f t="shared" si="3"/>
        <v>1155</v>
      </c>
      <c r="Q7" s="1403">
        <v>1155</v>
      </c>
      <c r="R7" s="25"/>
    </row>
    <row r="8" spans="1:18" ht="17.25">
      <c r="A8" s="608">
        <f t="shared" si="0"/>
        <v>1.05</v>
      </c>
      <c r="B8" s="24" t="s">
        <v>523</v>
      </c>
      <c r="C8" s="37" t="s">
        <v>519</v>
      </c>
      <c r="D8" s="1403"/>
      <c r="E8" s="1404"/>
      <c r="F8" s="1404"/>
      <c r="G8" s="1404"/>
      <c r="H8" s="1404">
        <v>575</v>
      </c>
      <c r="I8" s="1405">
        <v>575</v>
      </c>
      <c r="J8" s="1405">
        <f t="shared" si="1"/>
        <v>575</v>
      </c>
      <c r="K8" s="1405">
        <f t="shared" si="1"/>
        <v>575</v>
      </c>
      <c r="L8" s="1405">
        <f t="shared" si="1"/>
        <v>575</v>
      </c>
      <c r="M8" s="1405">
        <f t="shared" si="2"/>
        <v>632.5</v>
      </c>
      <c r="N8" s="1403">
        <f t="shared" si="3"/>
        <v>632.5</v>
      </c>
      <c r="O8" s="1403">
        <f t="shared" si="3"/>
        <v>632.5</v>
      </c>
      <c r="P8" s="1403">
        <f t="shared" si="3"/>
        <v>632.5</v>
      </c>
      <c r="Q8" s="1403">
        <v>632.5</v>
      </c>
      <c r="R8" s="25"/>
    </row>
    <row r="9" spans="1:18" ht="15" customHeight="1">
      <c r="A9" s="601">
        <v>2</v>
      </c>
      <c r="B9" s="605" t="s">
        <v>524</v>
      </c>
      <c r="C9" s="854"/>
      <c r="D9" s="1406"/>
      <c r="E9" s="1401"/>
      <c r="F9" s="1401"/>
      <c r="G9" s="1401"/>
      <c r="H9" s="1401"/>
      <c r="I9" s="1401"/>
      <c r="J9" s="1401"/>
      <c r="K9" s="1401"/>
      <c r="L9" s="1401"/>
      <c r="M9" s="1401"/>
      <c r="N9" s="1406"/>
      <c r="O9" s="1406"/>
      <c r="P9" s="1406"/>
      <c r="Q9" s="1406"/>
      <c r="R9" s="606"/>
    </row>
    <row r="10" spans="1:18" ht="17.25">
      <c r="A10" s="608">
        <f>A9+0.01</f>
        <v>2.0099999999999998</v>
      </c>
      <c r="B10" s="24" t="s">
        <v>525</v>
      </c>
      <c r="C10" s="37" t="s">
        <v>519</v>
      </c>
      <c r="D10" s="1403"/>
      <c r="E10" s="1404"/>
      <c r="F10" s="1404"/>
      <c r="G10" s="1404"/>
      <c r="H10" s="1404">
        <v>41</v>
      </c>
      <c r="I10" s="1405">
        <v>41</v>
      </c>
      <c r="J10" s="1405">
        <f t="shared" si="1"/>
        <v>41</v>
      </c>
      <c r="K10" s="1405">
        <f t="shared" si="1"/>
        <v>41</v>
      </c>
      <c r="L10" s="1405">
        <f t="shared" si="1"/>
        <v>41</v>
      </c>
      <c r="M10" s="1405">
        <f t="shared" si="2"/>
        <v>45.1</v>
      </c>
      <c r="N10" s="1403">
        <f t="shared" si="3"/>
        <v>45.1</v>
      </c>
      <c r="O10" s="1403">
        <f t="shared" si="3"/>
        <v>45.1</v>
      </c>
      <c r="P10" s="1403">
        <f t="shared" si="3"/>
        <v>45.1</v>
      </c>
      <c r="Q10" s="1403">
        <v>45.1</v>
      </c>
      <c r="R10" s="25"/>
    </row>
    <row r="11" spans="1:18" ht="17.25">
      <c r="A11" s="608">
        <f t="shared" ref="A11:A18" si="4">A10+0.01</f>
        <v>2.0199999999999996</v>
      </c>
      <c r="B11" s="24" t="s">
        <v>526</v>
      </c>
      <c r="C11" s="37" t="s">
        <v>519</v>
      </c>
      <c r="D11" s="1403"/>
      <c r="E11" s="1404"/>
      <c r="F11" s="1404"/>
      <c r="G11" s="1404"/>
      <c r="H11" s="1404">
        <v>64</v>
      </c>
      <c r="I11" s="1405">
        <v>64</v>
      </c>
      <c r="J11" s="1405">
        <f t="shared" si="1"/>
        <v>64</v>
      </c>
      <c r="K11" s="1405">
        <f t="shared" si="1"/>
        <v>64</v>
      </c>
      <c r="L11" s="1405">
        <f t="shared" si="1"/>
        <v>64</v>
      </c>
      <c r="M11" s="1405">
        <f t="shared" si="2"/>
        <v>70.400000000000006</v>
      </c>
      <c r="N11" s="1403">
        <f t="shared" si="3"/>
        <v>70.400000000000006</v>
      </c>
      <c r="O11" s="1403">
        <f t="shared" si="3"/>
        <v>70.400000000000006</v>
      </c>
      <c r="P11" s="1403">
        <f t="shared" si="3"/>
        <v>70.400000000000006</v>
      </c>
      <c r="Q11" s="1403">
        <v>70.400000000000006</v>
      </c>
      <c r="R11" s="25"/>
    </row>
    <row r="12" spans="1:18" ht="17.25">
      <c r="A12" s="608">
        <f t="shared" si="4"/>
        <v>2.0299999999999994</v>
      </c>
      <c r="B12" s="24" t="s">
        <v>527</v>
      </c>
      <c r="C12" s="37" t="s">
        <v>519</v>
      </c>
      <c r="D12" s="1403"/>
      <c r="E12" s="1404"/>
      <c r="F12" s="1404"/>
      <c r="G12" s="1404"/>
      <c r="H12" s="1404">
        <v>82</v>
      </c>
      <c r="I12" s="1405">
        <v>82</v>
      </c>
      <c r="J12" s="1405">
        <f t="shared" si="1"/>
        <v>82</v>
      </c>
      <c r="K12" s="1405">
        <f t="shared" si="1"/>
        <v>82</v>
      </c>
      <c r="L12" s="1405">
        <f t="shared" si="1"/>
        <v>82</v>
      </c>
      <c r="M12" s="1405">
        <f t="shared" si="2"/>
        <v>90.2</v>
      </c>
      <c r="N12" s="1403">
        <f t="shared" si="3"/>
        <v>90.2</v>
      </c>
      <c r="O12" s="1403">
        <f t="shared" si="3"/>
        <v>90.2</v>
      </c>
      <c r="P12" s="1403">
        <f t="shared" si="3"/>
        <v>90.2</v>
      </c>
      <c r="Q12" s="1403">
        <v>90.2</v>
      </c>
      <c r="R12" s="25"/>
    </row>
    <row r="13" spans="1:18" ht="17.25">
      <c r="A13" s="608">
        <f t="shared" si="4"/>
        <v>2.0399999999999991</v>
      </c>
      <c r="B13" s="24" t="s">
        <v>528</v>
      </c>
      <c r="C13" s="37" t="s">
        <v>519</v>
      </c>
      <c r="D13" s="1403"/>
      <c r="E13" s="1404"/>
      <c r="F13" s="1404"/>
      <c r="G13" s="1404"/>
      <c r="H13" s="1404">
        <v>129</v>
      </c>
      <c r="I13" s="1405">
        <v>129</v>
      </c>
      <c r="J13" s="1405">
        <f t="shared" si="1"/>
        <v>129</v>
      </c>
      <c r="K13" s="1405">
        <f t="shared" si="1"/>
        <v>129</v>
      </c>
      <c r="L13" s="1405">
        <f t="shared" si="1"/>
        <v>129</v>
      </c>
      <c r="M13" s="1405">
        <f t="shared" si="2"/>
        <v>141.9</v>
      </c>
      <c r="N13" s="1403">
        <f t="shared" si="3"/>
        <v>141.9</v>
      </c>
      <c r="O13" s="1403">
        <f t="shared" si="3"/>
        <v>141.9</v>
      </c>
      <c r="P13" s="1403">
        <f t="shared" si="3"/>
        <v>141.9</v>
      </c>
      <c r="Q13" s="1403">
        <v>141.9</v>
      </c>
      <c r="R13" s="25"/>
    </row>
    <row r="14" spans="1:18" ht="17.25">
      <c r="A14" s="608">
        <f t="shared" si="4"/>
        <v>2.0499999999999989</v>
      </c>
      <c r="B14" s="24" t="s">
        <v>529</v>
      </c>
      <c r="C14" s="37" t="s">
        <v>519</v>
      </c>
      <c r="D14" s="1403"/>
      <c r="E14" s="1404"/>
      <c r="F14" s="1404"/>
      <c r="G14" s="1404"/>
      <c r="H14" s="1404">
        <v>173</v>
      </c>
      <c r="I14" s="1405">
        <v>173</v>
      </c>
      <c r="J14" s="1405">
        <f t="shared" si="1"/>
        <v>173</v>
      </c>
      <c r="K14" s="1405">
        <f t="shared" si="1"/>
        <v>173</v>
      </c>
      <c r="L14" s="1405">
        <f t="shared" si="1"/>
        <v>173</v>
      </c>
      <c r="M14" s="1405">
        <f t="shared" si="2"/>
        <v>190.3</v>
      </c>
      <c r="N14" s="1403">
        <f t="shared" si="3"/>
        <v>190.3</v>
      </c>
      <c r="O14" s="1403">
        <f t="shared" si="3"/>
        <v>190.3</v>
      </c>
      <c r="P14" s="1403">
        <f t="shared" si="3"/>
        <v>190.3</v>
      </c>
      <c r="Q14" s="1403">
        <v>190.3</v>
      </c>
      <c r="R14" s="25"/>
    </row>
    <row r="15" spans="1:18" ht="17.25">
      <c r="A15" s="608">
        <f t="shared" si="4"/>
        <v>2.0599999999999987</v>
      </c>
      <c r="B15" s="24" t="s">
        <v>530</v>
      </c>
      <c r="C15" s="37" t="s">
        <v>519</v>
      </c>
      <c r="D15" s="1403"/>
      <c r="E15" s="1404"/>
      <c r="F15" s="1404"/>
      <c r="G15" s="1404"/>
      <c r="H15" s="1404">
        <v>268</v>
      </c>
      <c r="I15" s="1405">
        <v>268</v>
      </c>
      <c r="J15" s="1405">
        <f t="shared" si="1"/>
        <v>268</v>
      </c>
      <c r="K15" s="1405">
        <f t="shared" si="1"/>
        <v>268</v>
      </c>
      <c r="L15" s="1405">
        <f t="shared" si="1"/>
        <v>268</v>
      </c>
      <c r="M15" s="1405">
        <f t="shared" si="2"/>
        <v>294.8</v>
      </c>
      <c r="N15" s="1403">
        <f t="shared" si="3"/>
        <v>294.8</v>
      </c>
      <c r="O15" s="1403">
        <f t="shared" si="3"/>
        <v>294.8</v>
      </c>
      <c r="P15" s="1403">
        <f t="shared" si="3"/>
        <v>294.8</v>
      </c>
      <c r="Q15" s="1403">
        <v>294.8</v>
      </c>
      <c r="R15" s="25"/>
    </row>
    <row r="16" spans="1:18" ht="17.25">
      <c r="A16" s="608">
        <f t="shared" si="4"/>
        <v>2.0699999999999985</v>
      </c>
      <c r="B16" s="24" t="s">
        <v>531</v>
      </c>
      <c r="C16" s="37" t="s">
        <v>519</v>
      </c>
      <c r="D16" s="1403"/>
      <c r="E16" s="1404"/>
      <c r="F16" s="1404"/>
      <c r="G16" s="1404"/>
      <c r="H16" s="1404">
        <v>375</v>
      </c>
      <c r="I16" s="1405">
        <v>375</v>
      </c>
      <c r="J16" s="1405">
        <f t="shared" si="1"/>
        <v>375</v>
      </c>
      <c r="K16" s="1405">
        <f t="shared" si="1"/>
        <v>375</v>
      </c>
      <c r="L16" s="1405">
        <f t="shared" si="1"/>
        <v>375</v>
      </c>
      <c r="M16" s="1405">
        <f t="shared" si="2"/>
        <v>412.50000000000006</v>
      </c>
      <c r="N16" s="1403">
        <f t="shared" si="3"/>
        <v>412.50000000000006</v>
      </c>
      <c r="O16" s="1403">
        <f t="shared" si="3"/>
        <v>412.50000000000006</v>
      </c>
      <c r="P16" s="1403">
        <f t="shared" si="3"/>
        <v>412.50000000000006</v>
      </c>
      <c r="Q16" s="1403">
        <v>412.50000000000006</v>
      </c>
      <c r="R16" s="25"/>
    </row>
    <row r="17" spans="1:18" ht="17.25">
      <c r="A17" s="608">
        <f t="shared" si="4"/>
        <v>2.0799999999999983</v>
      </c>
      <c r="B17" s="24" t="s">
        <v>532</v>
      </c>
      <c r="C17" s="37" t="s">
        <v>519</v>
      </c>
      <c r="D17" s="1403"/>
      <c r="E17" s="1404"/>
      <c r="F17" s="1404"/>
      <c r="G17" s="1404"/>
      <c r="H17" s="1404">
        <v>600</v>
      </c>
      <c r="I17" s="1405">
        <v>600</v>
      </c>
      <c r="J17" s="1405">
        <f t="shared" si="1"/>
        <v>600</v>
      </c>
      <c r="K17" s="1405">
        <f t="shared" si="1"/>
        <v>600</v>
      </c>
      <c r="L17" s="1405">
        <f t="shared" si="1"/>
        <v>600</v>
      </c>
      <c r="M17" s="1405">
        <f t="shared" si="2"/>
        <v>660</v>
      </c>
      <c r="N17" s="1403">
        <f t="shared" si="3"/>
        <v>660</v>
      </c>
      <c r="O17" s="1403">
        <f t="shared" si="3"/>
        <v>660</v>
      </c>
      <c r="P17" s="1403">
        <f t="shared" si="3"/>
        <v>660</v>
      </c>
      <c r="Q17" s="1403">
        <v>660</v>
      </c>
      <c r="R17" s="25"/>
    </row>
    <row r="18" spans="1:18" ht="17.25">
      <c r="A18" s="608">
        <f t="shared" si="4"/>
        <v>2.0899999999999981</v>
      </c>
      <c r="B18" s="24" t="s">
        <v>533</v>
      </c>
      <c r="C18" s="37" t="s">
        <v>519</v>
      </c>
      <c r="D18" s="1403"/>
      <c r="E18" s="1404"/>
      <c r="F18" s="1404"/>
      <c r="G18" s="1404"/>
      <c r="H18" s="1404">
        <v>950</v>
      </c>
      <c r="I18" s="1405">
        <v>950</v>
      </c>
      <c r="J18" s="1405">
        <f t="shared" si="1"/>
        <v>950</v>
      </c>
      <c r="K18" s="1405">
        <f t="shared" si="1"/>
        <v>950</v>
      </c>
      <c r="L18" s="1405">
        <f t="shared" si="1"/>
        <v>950</v>
      </c>
      <c r="M18" s="1405">
        <f t="shared" si="2"/>
        <v>1045</v>
      </c>
      <c r="N18" s="1403">
        <f t="shared" si="3"/>
        <v>1045</v>
      </c>
      <c r="O18" s="1403">
        <f t="shared" si="3"/>
        <v>1045</v>
      </c>
      <c r="P18" s="1403">
        <f t="shared" si="3"/>
        <v>1045</v>
      </c>
      <c r="Q18" s="1403">
        <v>1045</v>
      </c>
      <c r="R18" s="25"/>
    </row>
    <row r="19" spans="1:18" ht="15" customHeight="1">
      <c r="A19" s="383">
        <v>3</v>
      </c>
      <c r="B19" s="385" t="s">
        <v>534</v>
      </c>
      <c r="C19" s="445"/>
      <c r="D19" s="1407"/>
      <c r="E19" s="1408"/>
      <c r="F19" s="1408"/>
      <c r="G19" s="1408"/>
      <c r="H19" s="1408"/>
      <c r="I19" s="1408"/>
      <c r="J19" s="1408"/>
      <c r="K19" s="1408"/>
      <c r="L19" s="1408"/>
      <c r="M19" s="1408"/>
      <c r="N19" s="1407"/>
      <c r="O19" s="1407"/>
      <c r="P19" s="1407"/>
      <c r="Q19" s="1407"/>
      <c r="R19" s="330"/>
    </row>
    <row r="20" spans="1:18" ht="17.25">
      <c r="A20" s="608">
        <f>A19+0.01</f>
        <v>3.01</v>
      </c>
      <c r="B20" s="24" t="s">
        <v>525</v>
      </c>
      <c r="C20" s="37" t="s">
        <v>519</v>
      </c>
      <c r="D20" s="1403"/>
      <c r="E20" s="1404"/>
      <c r="F20" s="1404"/>
      <c r="G20" s="1404"/>
      <c r="H20" s="1404">
        <v>45</v>
      </c>
      <c r="I20" s="1405">
        <v>45</v>
      </c>
      <c r="J20" s="1405">
        <f t="shared" si="1"/>
        <v>45</v>
      </c>
      <c r="K20" s="1405">
        <f t="shared" si="1"/>
        <v>45</v>
      </c>
      <c r="L20" s="1405">
        <f t="shared" si="1"/>
        <v>45</v>
      </c>
      <c r="M20" s="1405">
        <f t="shared" si="2"/>
        <v>49.500000000000007</v>
      </c>
      <c r="N20" s="1403">
        <f t="shared" si="3"/>
        <v>49.500000000000007</v>
      </c>
      <c r="O20" s="1403">
        <f t="shared" si="3"/>
        <v>49.500000000000007</v>
      </c>
      <c r="P20" s="1403">
        <f t="shared" si="3"/>
        <v>49.500000000000007</v>
      </c>
      <c r="Q20" s="1403">
        <v>49.500000000000007</v>
      </c>
      <c r="R20" s="25"/>
    </row>
    <row r="21" spans="1:18" ht="17.25">
      <c r="A21" s="608">
        <f t="shared" ref="A21:A28" si="5">A20+0.01</f>
        <v>3.0199999999999996</v>
      </c>
      <c r="B21" s="24" t="s">
        <v>526</v>
      </c>
      <c r="C21" s="37" t="s">
        <v>519</v>
      </c>
      <c r="D21" s="1403"/>
      <c r="E21" s="1404"/>
      <c r="F21" s="1404"/>
      <c r="G21" s="1404"/>
      <c r="H21" s="1404">
        <v>71</v>
      </c>
      <c r="I21" s="1405">
        <v>71</v>
      </c>
      <c r="J21" s="1405">
        <f t="shared" si="1"/>
        <v>71</v>
      </c>
      <c r="K21" s="1405">
        <f t="shared" si="1"/>
        <v>71</v>
      </c>
      <c r="L21" s="1405">
        <f t="shared" si="1"/>
        <v>71</v>
      </c>
      <c r="M21" s="1405">
        <f t="shared" si="2"/>
        <v>78.100000000000009</v>
      </c>
      <c r="N21" s="1403">
        <f t="shared" si="3"/>
        <v>78.100000000000009</v>
      </c>
      <c r="O21" s="1403">
        <f t="shared" si="3"/>
        <v>78.100000000000009</v>
      </c>
      <c r="P21" s="1403">
        <f t="shared" si="3"/>
        <v>78.100000000000009</v>
      </c>
      <c r="Q21" s="1403">
        <v>78.100000000000009</v>
      </c>
      <c r="R21" s="25"/>
    </row>
    <row r="22" spans="1:18" ht="17.25">
      <c r="A22" s="608">
        <f t="shared" si="5"/>
        <v>3.0299999999999994</v>
      </c>
      <c r="B22" s="24" t="s">
        <v>527</v>
      </c>
      <c r="C22" s="37" t="s">
        <v>519</v>
      </c>
      <c r="D22" s="1403"/>
      <c r="E22" s="1404"/>
      <c r="F22" s="1404"/>
      <c r="G22" s="1404"/>
      <c r="H22" s="1404">
        <v>113</v>
      </c>
      <c r="I22" s="1405">
        <v>113</v>
      </c>
      <c r="J22" s="1405">
        <f t="shared" si="1"/>
        <v>113</v>
      </c>
      <c r="K22" s="1405">
        <f t="shared" si="1"/>
        <v>113</v>
      </c>
      <c r="L22" s="1405">
        <f t="shared" si="1"/>
        <v>113</v>
      </c>
      <c r="M22" s="1405">
        <f t="shared" si="2"/>
        <v>124.30000000000001</v>
      </c>
      <c r="N22" s="1403">
        <f t="shared" si="3"/>
        <v>124.30000000000001</v>
      </c>
      <c r="O22" s="1403">
        <f t="shared" si="3"/>
        <v>124.30000000000001</v>
      </c>
      <c r="P22" s="1403">
        <f t="shared" si="3"/>
        <v>124.30000000000001</v>
      </c>
      <c r="Q22" s="1403">
        <v>124.30000000000001</v>
      </c>
      <c r="R22" s="25"/>
    </row>
    <row r="23" spans="1:18" ht="17.25">
      <c r="A23" s="608">
        <f t="shared" si="5"/>
        <v>3.0399999999999991</v>
      </c>
      <c r="B23" s="24" t="s">
        <v>528</v>
      </c>
      <c r="C23" s="37" t="s">
        <v>519</v>
      </c>
      <c r="D23" s="1403"/>
      <c r="E23" s="1404"/>
      <c r="F23" s="1404"/>
      <c r="G23" s="1404"/>
      <c r="H23" s="1404">
        <v>176</v>
      </c>
      <c r="I23" s="1405">
        <v>176</v>
      </c>
      <c r="J23" s="1405">
        <f t="shared" si="1"/>
        <v>176</v>
      </c>
      <c r="K23" s="1405">
        <f t="shared" si="1"/>
        <v>176</v>
      </c>
      <c r="L23" s="1405">
        <f t="shared" si="1"/>
        <v>176</v>
      </c>
      <c r="M23" s="1405">
        <f t="shared" si="2"/>
        <v>193.60000000000002</v>
      </c>
      <c r="N23" s="1403">
        <f t="shared" si="3"/>
        <v>193.60000000000002</v>
      </c>
      <c r="O23" s="1403">
        <f t="shared" si="3"/>
        <v>193.60000000000002</v>
      </c>
      <c r="P23" s="1403">
        <f t="shared" si="3"/>
        <v>193.60000000000002</v>
      </c>
      <c r="Q23" s="1403">
        <v>193.60000000000002</v>
      </c>
      <c r="R23" s="25"/>
    </row>
    <row r="24" spans="1:18" ht="17.25">
      <c r="A24" s="608">
        <f t="shared" si="5"/>
        <v>3.0499999999999989</v>
      </c>
      <c r="B24" s="24" t="s">
        <v>529</v>
      </c>
      <c r="C24" s="37" t="s">
        <v>519</v>
      </c>
      <c r="D24" s="1403"/>
      <c r="E24" s="1404"/>
      <c r="F24" s="1404"/>
      <c r="G24" s="1404"/>
      <c r="H24" s="1404">
        <v>242</v>
      </c>
      <c r="I24" s="1405">
        <v>242</v>
      </c>
      <c r="J24" s="1405">
        <f t="shared" si="1"/>
        <v>242</v>
      </c>
      <c r="K24" s="1405">
        <f t="shared" si="1"/>
        <v>242</v>
      </c>
      <c r="L24" s="1405">
        <f t="shared" si="1"/>
        <v>242</v>
      </c>
      <c r="M24" s="1405">
        <f t="shared" si="2"/>
        <v>266.20000000000005</v>
      </c>
      <c r="N24" s="1403">
        <f t="shared" si="3"/>
        <v>266.20000000000005</v>
      </c>
      <c r="O24" s="1403">
        <f t="shared" si="3"/>
        <v>266.20000000000005</v>
      </c>
      <c r="P24" s="1403">
        <f t="shared" si="3"/>
        <v>266.20000000000005</v>
      </c>
      <c r="Q24" s="1403">
        <v>266.20000000000005</v>
      </c>
      <c r="R24" s="25"/>
    </row>
    <row r="25" spans="1:18" ht="17.25">
      <c r="A25" s="608">
        <f t="shared" si="5"/>
        <v>3.0599999999999987</v>
      </c>
      <c r="B25" s="24" t="s">
        <v>530</v>
      </c>
      <c r="C25" s="37" t="s">
        <v>519</v>
      </c>
      <c r="D25" s="1403"/>
      <c r="E25" s="1404"/>
      <c r="F25" s="1404"/>
      <c r="G25" s="1404"/>
      <c r="H25" s="1404">
        <v>368</v>
      </c>
      <c r="I25" s="1405">
        <v>368</v>
      </c>
      <c r="J25" s="1405">
        <f t="shared" si="1"/>
        <v>368</v>
      </c>
      <c r="K25" s="1405">
        <f t="shared" si="1"/>
        <v>368</v>
      </c>
      <c r="L25" s="1405">
        <f t="shared" si="1"/>
        <v>368</v>
      </c>
      <c r="M25" s="1405">
        <f t="shared" si="2"/>
        <v>404.8</v>
      </c>
      <c r="N25" s="1403">
        <f t="shared" si="3"/>
        <v>404.8</v>
      </c>
      <c r="O25" s="1403">
        <f t="shared" si="3"/>
        <v>404.8</v>
      </c>
      <c r="P25" s="1403">
        <f t="shared" si="3"/>
        <v>404.8</v>
      </c>
      <c r="Q25" s="1403">
        <v>404.8</v>
      </c>
      <c r="R25" s="25"/>
    </row>
    <row r="26" spans="1:18" ht="17.25">
      <c r="A26" s="608">
        <f t="shared" si="5"/>
        <v>3.0699999999999985</v>
      </c>
      <c r="B26" s="24" t="s">
        <v>531</v>
      </c>
      <c r="C26" s="37" t="s">
        <v>519</v>
      </c>
      <c r="D26" s="1403"/>
      <c r="E26" s="1404"/>
      <c r="F26" s="1404"/>
      <c r="G26" s="1404"/>
      <c r="H26" s="1404">
        <v>685</v>
      </c>
      <c r="I26" s="1405">
        <v>685</v>
      </c>
      <c r="J26" s="1405">
        <f t="shared" si="1"/>
        <v>685</v>
      </c>
      <c r="K26" s="1405">
        <f t="shared" si="1"/>
        <v>685</v>
      </c>
      <c r="L26" s="1405">
        <f t="shared" si="1"/>
        <v>685</v>
      </c>
      <c r="M26" s="1405">
        <f t="shared" si="2"/>
        <v>753.50000000000011</v>
      </c>
      <c r="N26" s="1403">
        <f t="shared" si="3"/>
        <v>753.50000000000011</v>
      </c>
      <c r="O26" s="1403">
        <f t="shared" si="3"/>
        <v>753.50000000000011</v>
      </c>
      <c r="P26" s="1403">
        <f t="shared" si="3"/>
        <v>753.50000000000011</v>
      </c>
      <c r="Q26" s="1403">
        <v>753.50000000000011</v>
      </c>
      <c r="R26" s="25"/>
    </row>
    <row r="27" spans="1:18" ht="17.25">
      <c r="A27" s="608">
        <f t="shared" si="5"/>
        <v>3.0799999999999983</v>
      </c>
      <c r="B27" s="24" t="s">
        <v>532</v>
      </c>
      <c r="C27" s="37" t="s">
        <v>519</v>
      </c>
      <c r="D27" s="1403"/>
      <c r="E27" s="1404"/>
      <c r="F27" s="1404"/>
      <c r="G27" s="1404"/>
      <c r="H27" s="1404">
        <v>978</v>
      </c>
      <c r="I27" s="1405">
        <v>978</v>
      </c>
      <c r="J27" s="1405">
        <f t="shared" si="1"/>
        <v>978</v>
      </c>
      <c r="K27" s="1405">
        <f t="shared" si="1"/>
        <v>978</v>
      </c>
      <c r="L27" s="1405">
        <f t="shared" si="1"/>
        <v>978</v>
      </c>
      <c r="M27" s="1405">
        <f t="shared" si="2"/>
        <v>1075.8000000000002</v>
      </c>
      <c r="N27" s="1403">
        <f t="shared" si="3"/>
        <v>1075.8000000000002</v>
      </c>
      <c r="O27" s="1403">
        <f t="shared" si="3"/>
        <v>1075.8000000000002</v>
      </c>
      <c r="P27" s="1403">
        <f t="shared" si="3"/>
        <v>1075.8000000000002</v>
      </c>
      <c r="Q27" s="1403">
        <v>1075.8000000000002</v>
      </c>
      <c r="R27" s="25"/>
    </row>
    <row r="28" spans="1:18" ht="17.25">
      <c r="A28" s="608">
        <f t="shared" si="5"/>
        <v>3.0899999999999981</v>
      </c>
      <c r="B28" s="24" t="s">
        <v>533</v>
      </c>
      <c r="C28" s="37" t="s">
        <v>519</v>
      </c>
      <c r="D28" s="1403"/>
      <c r="E28" s="1404"/>
      <c r="F28" s="1404"/>
      <c r="G28" s="1404"/>
      <c r="H28" s="1404">
        <v>1753</v>
      </c>
      <c r="I28" s="1405">
        <v>1753</v>
      </c>
      <c r="J28" s="1405">
        <f t="shared" si="1"/>
        <v>1753</v>
      </c>
      <c r="K28" s="1405">
        <f t="shared" si="1"/>
        <v>1753</v>
      </c>
      <c r="L28" s="1405">
        <f t="shared" si="1"/>
        <v>1753</v>
      </c>
      <c r="M28" s="1405">
        <f t="shared" si="2"/>
        <v>1928.3000000000002</v>
      </c>
      <c r="N28" s="1403">
        <f t="shared" si="3"/>
        <v>1928.3000000000002</v>
      </c>
      <c r="O28" s="1403">
        <f t="shared" si="3"/>
        <v>1928.3000000000002</v>
      </c>
      <c r="P28" s="1403">
        <f t="shared" si="3"/>
        <v>1928.3000000000002</v>
      </c>
      <c r="Q28" s="1403">
        <v>1928.3000000000002</v>
      </c>
      <c r="R28" s="25"/>
    </row>
    <row r="29" spans="1:18" ht="15" customHeight="1">
      <c r="A29" s="383">
        <v>4</v>
      </c>
      <c r="B29" s="385" t="s">
        <v>535</v>
      </c>
      <c r="C29" s="445"/>
      <c r="D29" s="1407"/>
      <c r="E29" s="1408"/>
      <c r="F29" s="1408"/>
      <c r="G29" s="1408"/>
      <c r="H29" s="1408"/>
      <c r="I29" s="1408"/>
      <c r="J29" s="1408"/>
      <c r="K29" s="1408"/>
      <c r="L29" s="1408"/>
      <c r="M29" s="1408"/>
      <c r="N29" s="1407"/>
      <c r="O29" s="1407"/>
      <c r="P29" s="1407"/>
      <c r="Q29" s="1407"/>
      <c r="R29" s="330"/>
    </row>
    <row r="30" spans="1:18" ht="17.25">
      <c r="A30" s="608">
        <f>A29+0.01</f>
        <v>4.01</v>
      </c>
      <c r="B30" s="24" t="s">
        <v>525</v>
      </c>
      <c r="C30" s="37" t="s">
        <v>519</v>
      </c>
      <c r="D30" s="1409"/>
      <c r="E30" s="1404"/>
      <c r="F30" s="1404"/>
      <c r="G30" s="1404"/>
      <c r="H30" s="1404">
        <v>70</v>
      </c>
      <c r="I30" s="1405">
        <v>70</v>
      </c>
      <c r="J30" s="1405">
        <f t="shared" si="1"/>
        <v>70</v>
      </c>
      <c r="K30" s="1405">
        <f t="shared" si="1"/>
        <v>70</v>
      </c>
      <c r="L30" s="1405">
        <f t="shared" si="1"/>
        <v>70</v>
      </c>
      <c r="M30" s="1405">
        <f t="shared" si="2"/>
        <v>77</v>
      </c>
      <c r="N30" s="1403">
        <f t="shared" si="3"/>
        <v>77</v>
      </c>
      <c r="O30" s="1403">
        <f t="shared" si="3"/>
        <v>77</v>
      </c>
      <c r="P30" s="1403">
        <f t="shared" si="3"/>
        <v>77</v>
      </c>
      <c r="Q30" s="1403">
        <v>77</v>
      </c>
      <c r="R30" s="25"/>
    </row>
    <row r="31" spans="1:18" ht="17.25">
      <c r="A31" s="608">
        <f t="shared" ref="A31:A38" si="6">A30+0.01</f>
        <v>4.0199999999999996</v>
      </c>
      <c r="B31" s="24" t="s">
        <v>526</v>
      </c>
      <c r="C31" s="37" t="s">
        <v>519</v>
      </c>
      <c r="D31" s="1409"/>
      <c r="E31" s="1404"/>
      <c r="F31" s="1404"/>
      <c r="G31" s="1404"/>
      <c r="H31" s="1404">
        <v>110</v>
      </c>
      <c r="I31" s="1405">
        <v>110</v>
      </c>
      <c r="J31" s="1405">
        <f t="shared" si="1"/>
        <v>110</v>
      </c>
      <c r="K31" s="1405">
        <f t="shared" si="1"/>
        <v>110</v>
      </c>
      <c r="L31" s="1405">
        <f t="shared" si="1"/>
        <v>110</v>
      </c>
      <c r="M31" s="1405">
        <f t="shared" si="2"/>
        <v>121.00000000000001</v>
      </c>
      <c r="N31" s="1403">
        <f t="shared" si="3"/>
        <v>121.00000000000001</v>
      </c>
      <c r="O31" s="1403">
        <f t="shared" si="3"/>
        <v>121.00000000000001</v>
      </c>
      <c r="P31" s="1403">
        <f t="shared" si="3"/>
        <v>121.00000000000001</v>
      </c>
      <c r="Q31" s="1403">
        <v>121.00000000000001</v>
      </c>
      <c r="R31" s="25"/>
    </row>
    <row r="32" spans="1:18" ht="17.25">
      <c r="A32" s="608">
        <f t="shared" si="6"/>
        <v>4.0299999999999994</v>
      </c>
      <c r="B32" s="24" t="s">
        <v>527</v>
      </c>
      <c r="C32" s="37" t="s">
        <v>519</v>
      </c>
      <c r="D32" s="1403"/>
      <c r="E32" s="1404"/>
      <c r="F32" s="1404"/>
      <c r="G32" s="1404"/>
      <c r="H32" s="1404">
        <v>150</v>
      </c>
      <c r="I32" s="1405">
        <v>150</v>
      </c>
      <c r="J32" s="1405">
        <f t="shared" si="1"/>
        <v>150</v>
      </c>
      <c r="K32" s="1405">
        <f t="shared" si="1"/>
        <v>150</v>
      </c>
      <c r="L32" s="1405">
        <f t="shared" si="1"/>
        <v>150</v>
      </c>
      <c r="M32" s="1405">
        <f t="shared" si="2"/>
        <v>165</v>
      </c>
      <c r="N32" s="1403">
        <f t="shared" si="3"/>
        <v>165</v>
      </c>
      <c r="O32" s="1403">
        <f t="shared" si="3"/>
        <v>165</v>
      </c>
      <c r="P32" s="1403">
        <f t="shared" si="3"/>
        <v>165</v>
      </c>
      <c r="Q32" s="1403">
        <v>165</v>
      </c>
      <c r="R32" s="25"/>
    </row>
    <row r="33" spans="1:18" ht="17.25">
      <c r="A33" s="608">
        <f t="shared" si="6"/>
        <v>4.0399999999999991</v>
      </c>
      <c r="B33" s="24" t="s">
        <v>528</v>
      </c>
      <c r="C33" s="37" t="s">
        <v>519</v>
      </c>
      <c r="D33" s="1403"/>
      <c r="E33" s="1404"/>
      <c r="F33" s="1404"/>
      <c r="G33" s="1404"/>
      <c r="H33" s="1404">
        <v>240</v>
      </c>
      <c r="I33" s="1405">
        <v>240</v>
      </c>
      <c r="J33" s="1405">
        <f t="shared" si="1"/>
        <v>240</v>
      </c>
      <c r="K33" s="1405">
        <f t="shared" si="1"/>
        <v>240</v>
      </c>
      <c r="L33" s="1405">
        <f t="shared" si="1"/>
        <v>240</v>
      </c>
      <c r="M33" s="1405">
        <f t="shared" si="2"/>
        <v>264</v>
      </c>
      <c r="N33" s="1403">
        <f t="shared" si="3"/>
        <v>264</v>
      </c>
      <c r="O33" s="1403">
        <f t="shared" si="3"/>
        <v>264</v>
      </c>
      <c r="P33" s="1403">
        <f t="shared" si="3"/>
        <v>264</v>
      </c>
      <c r="Q33" s="1403">
        <v>264</v>
      </c>
      <c r="R33" s="25"/>
    </row>
    <row r="34" spans="1:18" ht="17.25">
      <c r="A34" s="608">
        <f t="shared" si="6"/>
        <v>4.0499999999999989</v>
      </c>
      <c r="B34" s="24" t="s">
        <v>529</v>
      </c>
      <c r="C34" s="37" t="s">
        <v>519</v>
      </c>
      <c r="D34" s="1403"/>
      <c r="E34" s="1404"/>
      <c r="F34" s="1404"/>
      <c r="G34" s="1404"/>
      <c r="H34" s="1404">
        <v>295</v>
      </c>
      <c r="I34" s="1405">
        <v>295</v>
      </c>
      <c r="J34" s="1405">
        <f t="shared" si="1"/>
        <v>295</v>
      </c>
      <c r="K34" s="1405">
        <f t="shared" si="1"/>
        <v>295</v>
      </c>
      <c r="L34" s="1405">
        <f t="shared" si="1"/>
        <v>295</v>
      </c>
      <c r="M34" s="1405">
        <f t="shared" si="2"/>
        <v>324.5</v>
      </c>
      <c r="N34" s="1403">
        <f t="shared" si="3"/>
        <v>324.5</v>
      </c>
      <c r="O34" s="1403">
        <f t="shared" si="3"/>
        <v>324.5</v>
      </c>
      <c r="P34" s="1403">
        <f t="shared" si="3"/>
        <v>324.5</v>
      </c>
      <c r="Q34" s="1403">
        <v>324.5</v>
      </c>
      <c r="R34" s="25"/>
    </row>
    <row r="35" spans="1:18" ht="17.25">
      <c r="A35" s="608">
        <f t="shared" si="6"/>
        <v>4.0599999999999987</v>
      </c>
      <c r="B35" s="24" t="s">
        <v>530</v>
      </c>
      <c r="C35" s="37" t="s">
        <v>519</v>
      </c>
      <c r="D35" s="1403"/>
      <c r="E35" s="1404"/>
      <c r="F35" s="1404"/>
      <c r="G35" s="1404"/>
      <c r="H35" s="1404">
        <v>460</v>
      </c>
      <c r="I35" s="1405">
        <v>460</v>
      </c>
      <c r="J35" s="1405">
        <f t="shared" si="1"/>
        <v>460</v>
      </c>
      <c r="K35" s="1405">
        <f t="shared" si="1"/>
        <v>460</v>
      </c>
      <c r="L35" s="1405">
        <f t="shared" si="1"/>
        <v>460</v>
      </c>
      <c r="M35" s="1405">
        <f t="shared" si="2"/>
        <v>506.00000000000006</v>
      </c>
      <c r="N35" s="1403">
        <f t="shared" si="3"/>
        <v>506.00000000000006</v>
      </c>
      <c r="O35" s="1403">
        <f t="shared" si="3"/>
        <v>506.00000000000006</v>
      </c>
      <c r="P35" s="1403">
        <f t="shared" si="3"/>
        <v>506.00000000000006</v>
      </c>
      <c r="Q35" s="1403">
        <v>506.00000000000006</v>
      </c>
      <c r="R35" s="25"/>
    </row>
    <row r="36" spans="1:18" ht="17.25">
      <c r="A36" s="608">
        <f t="shared" si="6"/>
        <v>4.0699999999999985</v>
      </c>
      <c r="B36" s="24" t="s">
        <v>531</v>
      </c>
      <c r="C36" s="37" t="s">
        <v>519</v>
      </c>
      <c r="D36" s="1403"/>
      <c r="E36" s="1404"/>
      <c r="F36" s="1404"/>
      <c r="G36" s="1404"/>
      <c r="H36" s="1404">
        <v>905</v>
      </c>
      <c r="I36" s="1405">
        <v>905</v>
      </c>
      <c r="J36" s="1405">
        <f t="shared" si="1"/>
        <v>905</v>
      </c>
      <c r="K36" s="1405">
        <f t="shared" si="1"/>
        <v>905</v>
      </c>
      <c r="L36" s="1405">
        <f t="shared" si="1"/>
        <v>905</v>
      </c>
      <c r="M36" s="1405">
        <f t="shared" si="2"/>
        <v>995.50000000000011</v>
      </c>
      <c r="N36" s="1403">
        <f t="shared" si="3"/>
        <v>995.50000000000011</v>
      </c>
      <c r="O36" s="1403">
        <f t="shared" si="3"/>
        <v>995.50000000000011</v>
      </c>
      <c r="P36" s="1403">
        <f t="shared" si="3"/>
        <v>995.50000000000011</v>
      </c>
      <c r="Q36" s="1403">
        <v>995.50000000000011</v>
      </c>
      <c r="R36" s="25"/>
    </row>
    <row r="37" spans="1:18" ht="17.25">
      <c r="A37" s="608">
        <f t="shared" si="6"/>
        <v>4.0799999999999983</v>
      </c>
      <c r="B37" s="24" t="s">
        <v>532</v>
      </c>
      <c r="C37" s="37" t="s">
        <v>519</v>
      </c>
      <c r="D37" s="1403"/>
      <c r="E37" s="1404"/>
      <c r="F37" s="1404"/>
      <c r="G37" s="1404"/>
      <c r="H37" s="1404">
        <v>1205</v>
      </c>
      <c r="I37" s="1405">
        <v>1205</v>
      </c>
      <c r="J37" s="1405">
        <f t="shared" si="1"/>
        <v>1205</v>
      </c>
      <c r="K37" s="1405">
        <f t="shared" si="1"/>
        <v>1205</v>
      </c>
      <c r="L37" s="1405">
        <f t="shared" si="1"/>
        <v>1205</v>
      </c>
      <c r="M37" s="1405">
        <f t="shared" si="2"/>
        <v>1325.5</v>
      </c>
      <c r="N37" s="1403">
        <f t="shared" si="3"/>
        <v>1325.5</v>
      </c>
      <c r="O37" s="1403">
        <f t="shared" si="3"/>
        <v>1325.5</v>
      </c>
      <c r="P37" s="1403">
        <f t="shared" si="3"/>
        <v>1325.5</v>
      </c>
      <c r="Q37" s="1403">
        <v>1325.5</v>
      </c>
      <c r="R37" s="25"/>
    </row>
    <row r="38" spans="1:18" ht="17.25">
      <c r="A38" s="608">
        <f t="shared" si="6"/>
        <v>4.0899999999999981</v>
      </c>
      <c r="B38" s="24" t="s">
        <v>533</v>
      </c>
      <c r="C38" s="37" t="s">
        <v>519</v>
      </c>
      <c r="D38" s="1410"/>
      <c r="E38" s="1411"/>
      <c r="F38" s="1411"/>
      <c r="G38" s="1411"/>
      <c r="H38" s="1404">
        <v>2053</v>
      </c>
      <c r="I38" s="1405">
        <v>2053</v>
      </c>
      <c r="J38" s="1405">
        <f t="shared" si="1"/>
        <v>2053</v>
      </c>
      <c r="K38" s="1405">
        <f t="shared" si="1"/>
        <v>2053</v>
      </c>
      <c r="L38" s="1405">
        <f t="shared" si="1"/>
        <v>2053</v>
      </c>
      <c r="M38" s="1405">
        <f t="shared" si="2"/>
        <v>2258.3000000000002</v>
      </c>
      <c r="N38" s="1403">
        <f t="shared" si="3"/>
        <v>2258.3000000000002</v>
      </c>
      <c r="O38" s="1403">
        <f t="shared" si="3"/>
        <v>2258.3000000000002</v>
      </c>
      <c r="P38" s="1403">
        <f t="shared" si="3"/>
        <v>2258.3000000000002</v>
      </c>
      <c r="Q38" s="1403">
        <v>2258.3000000000002</v>
      </c>
      <c r="R38" s="25"/>
    </row>
    <row r="39" spans="1:18" ht="17.25" customHeight="1">
      <c r="A39" s="392">
        <v>5</v>
      </c>
      <c r="B39" s="387" t="s">
        <v>536</v>
      </c>
      <c r="C39" s="445"/>
      <c r="D39" s="1407"/>
      <c r="E39" s="1408"/>
      <c r="F39" s="1408"/>
      <c r="G39" s="1408"/>
      <c r="H39" s="1408"/>
      <c r="I39" s="1408"/>
      <c r="J39" s="1408"/>
      <c r="K39" s="1408"/>
      <c r="L39" s="1408"/>
      <c r="M39" s="1408"/>
      <c r="N39" s="1407"/>
      <c r="O39" s="1407"/>
      <c r="P39" s="1407"/>
      <c r="Q39" s="1407"/>
      <c r="R39" s="330"/>
    </row>
    <row r="40" spans="1:18" ht="17.25">
      <c r="A40" s="608">
        <f>A39+0.01</f>
        <v>5.01</v>
      </c>
      <c r="B40" s="24" t="s">
        <v>525</v>
      </c>
      <c r="C40" s="37" t="s">
        <v>519</v>
      </c>
      <c r="D40" s="1403"/>
      <c r="E40" s="1404"/>
      <c r="F40" s="1404"/>
      <c r="G40" s="1404"/>
      <c r="H40" s="1404">
        <v>124</v>
      </c>
      <c r="I40" s="1405">
        <v>124</v>
      </c>
      <c r="J40" s="1405">
        <f t="shared" si="1"/>
        <v>124</v>
      </c>
      <c r="K40" s="1405">
        <f t="shared" si="1"/>
        <v>124</v>
      </c>
      <c r="L40" s="1405">
        <f t="shared" si="1"/>
        <v>124</v>
      </c>
      <c r="M40" s="1405">
        <f t="shared" si="2"/>
        <v>136.4</v>
      </c>
      <c r="N40" s="1403">
        <f t="shared" si="3"/>
        <v>136.4</v>
      </c>
      <c r="O40" s="1403">
        <f t="shared" si="3"/>
        <v>136.4</v>
      </c>
      <c r="P40" s="1403">
        <f t="shared" si="3"/>
        <v>136.4</v>
      </c>
      <c r="Q40" s="1403">
        <v>136.4</v>
      </c>
      <c r="R40" s="25"/>
    </row>
    <row r="41" spans="1:18" ht="17.25">
      <c r="A41" s="608">
        <f t="shared" ref="A41:A48" si="7">A40+0.01</f>
        <v>5.0199999999999996</v>
      </c>
      <c r="B41" s="24" t="s">
        <v>526</v>
      </c>
      <c r="C41" s="37" t="s">
        <v>519</v>
      </c>
      <c r="D41" s="1403"/>
      <c r="E41" s="1404"/>
      <c r="F41" s="1404"/>
      <c r="G41" s="1404"/>
      <c r="H41" s="1404">
        <v>173</v>
      </c>
      <c r="I41" s="1405">
        <v>173</v>
      </c>
      <c r="J41" s="1405">
        <f t="shared" si="1"/>
        <v>173</v>
      </c>
      <c r="K41" s="1405">
        <f t="shared" si="1"/>
        <v>173</v>
      </c>
      <c r="L41" s="1405">
        <f t="shared" si="1"/>
        <v>173</v>
      </c>
      <c r="M41" s="1405">
        <f t="shared" si="2"/>
        <v>190.3</v>
      </c>
      <c r="N41" s="1403">
        <f t="shared" si="3"/>
        <v>190.3</v>
      </c>
      <c r="O41" s="1403">
        <f t="shared" si="3"/>
        <v>190.3</v>
      </c>
      <c r="P41" s="1403">
        <f t="shared" si="3"/>
        <v>190.3</v>
      </c>
      <c r="Q41" s="1403">
        <v>190.3</v>
      </c>
      <c r="R41" s="25"/>
    </row>
    <row r="42" spans="1:18" ht="17.25">
      <c r="A42" s="608">
        <f t="shared" si="7"/>
        <v>5.0299999999999994</v>
      </c>
      <c r="B42" s="24" t="s">
        <v>527</v>
      </c>
      <c r="C42" s="37" t="s">
        <v>519</v>
      </c>
      <c r="D42" s="1403"/>
      <c r="E42" s="1404"/>
      <c r="F42" s="1404"/>
      <c r="G42" s="1404"/>
      <c r="H42" s="1404">
        <v>230</v>
      </c>
      <c r="I42" s="1405">
        <v>230</v>
      </c>
      <c r="J42" s="1405">
        <f t="shared" si="1"/>
        <v>230</v>
      </c>
      <c r="K42" s="1405">
        <f t="shared" si="1"/>
        <v>230</v>
      </c>
      <c r="L42" s="1405">
        <f t="shared" si="1"/>
        <v>230</v>
      </c>
      <c r="M42" s="1405">
        <f t="shared" si="2"/>
        <v>253.00000000000003</v>
      </c>
      <c r="N42" s="1403">
        <f t="shared" si="3"/>
        <v>253.00000000000003</v>
      </c>
      <c r="O42" s="1403">
        <f t="shared" si="3"/>
        <v>253.00000000000003</v>
      </c>
      <c r="P42" s="1403">
        <f t="shared" si="3"/>
        <v>253.00000000000003</v>
      </c>
      <c r="Q42" s="1403">
        <v>253.00000000000003</v>
      </c>
      <c r="R42" s="25"/>
    </row>
    <row r="43" spans="1:18" ht="17.25">
      <c r="A43" s="608">
        <f t="shared" si="7"/>
        <v>5.0399999999999991</v>
      </c>
      <c r="B43" s="24" t="s">
        <v>528</v>
      </c>
      <c r="C43" s="37" t="s">
        <v>519</v>
      </c>
      <c r="D43" s="1403"/>
      <c r="E43" s="1404"/>
      <c r="F43" s="1404"/>
      <c r="G43" s="1404"/>
      <c r="H43" s="1404">
        <v>345</v>
      </c>
      <c r="I43" s="1405">
        <v>345</v>
      </c>
      <c r="J43" s="1405">
        <f t="shared" si="1"/>
        <v>345</v>
      </c>
      <c r="K43" s="1405">
        <f t="shared" si="1"/>
        <v>345</v>
      </c>
      <c r="L43" s="1405">
        <f t="shared" si="1"/>
        <v>345</v>
      </c>
      <c r="M43" s="1405">
        <f t="shared" si="2"/>
        <v>379.50000000000006</v>
      </c>
      <c r="N43" s="1403">
        <f t="shared" si="3"/>
        <v>379.50000000000006</v>
      </c>
      <c r="O43" s="1403">
        <f t="shared" si="3"/>
        <v>379.50000000000006</v>
      </c>
      <c r="P43" s="1403">
        <f t="shared" si="3"/>
        <v>379.50000000000006</v>
      </c>
      <c r="Q43" s="1403">
        <v>379.50000000000006</v>
      </c>
      <c r="R43" s="25"/>
    </row>
    <row r="44" spans="1:18" ht="17.25">
      <c r="A44" s="608">
        <f t="shared" si="7"/>
        <v>5.0499999999999989</v>
      </c>
      <c r="B44" s="24" t="s">
        <v>529</v>
      </c>
      <c r="C44" s="37" t="s">
        <v>519</v>
      </c>
      <c r="D44" s="1403"/>
      <c r="E44" s="1404"/>
      <c r="F44" s="1404"/>
      <c r="G44" s="1404"/>
      <c r="H44" s="1404">
        <v>455</v>
      </c>
      <c r="I44" s="1405">
        <v>455</v>
      </c>
      <c r="J44" s="1405">
        <f t="shared" si="1"/>
        <v>455</v>
      </c>
      <c r="K44" s="1405">
        <f t="shared" si="1"/>
        <v>455</v>
      </c>
      <c r="L44" s="1405">
        <f t="shared" si="1"/>
        <v>455</v>
      </c>
      <c r="M44" s="1405">
        <f t="shared" si="2"/>
        <v>500.50000000000006</v>
      </c>
      <c r="N44" s="1403">
        <f t="shared" si="3"/>
        <v>500.50000000000006</v>
      </c>
      <c r="O44" s="1403">
        <f t="shared" si="3"/>
        <v>500.50000000000006</v>
      </c>
      <c r="P44" s="1403">
        <f t="shared" si="3"/>
        <v>500.50000000000006</v>
      </c>
      <c r="Q44" s="1403">
        <v>500.50000000000006</v>
      </c>
      <c r="R44" s="25"/>
    </row>
    <row r="45" spans="1:18" ht="17.25">
      <c r="A45" s="608">
        <f t="shared" si="7"/>
        <v>5.0599999999999987</v>
      </c>
      <c r="B45" s="24" t="s">
        <v>530</v>
      </c>
      <c r="C45" s="37" t="s">
        <v>519</v>
      </c>
      <c r="D45" s="1403"/>
      <c r="E45" s="1404"/>
      <c r="F45" s="1404"/>
      <c r="G45" s="1404"/>
      <c r="H45" s="1404">
        <v>630</v>
      </c>
      <c r="I45" s="1405">
        <v>630</v>
      </c>
      <c r="J45" s="1405">
        <f t="shared" si="1"/>
        <v>630</v>
      </c>
      <c r="K45" s="1405">
        <f t="shared" si="1"/>
        <v>630</v>
      </c>
      <c r="L45" s="1405">
        <f t="shared" si="1"/>
        <v>630</v>
      </c>
      <c r="M45" s="1405">
        <f t="shared" si="2"/>
        <v>693</v>
      </c>
      <c r="N45" s="1403">
        <f t="shared" si="3"/>
        <v>693</v>
      </c>
      <c r="O45" s="1403">
        <f t="shared" si="3"/>
        <v>693</v>
      </c>
      <c r="P45" s="1403">
        <f t="shared" si="3"/>
        <v>693</v>
      </c>
      <c r="Q45" s="1403">
        <v>693</v>
      </c>
      <c r="R45" s="25"/>
    </row>
    <row r="46" spans="1:18" ht="17.25">
      <c r="A46" s="608">
        <f t="shared" si="7"/>
        <v>5.0699999999999985</v>
      </c>
      <c r="B46" s="24" t="s">
        <v>531</v>
      </c>
      <c r="C46" s="37" t="s">
        <v>519</v>
      </c>
      <c r="D46" s="1403"/>
      <c r="E46" s="1404"/>
      <c r="F46" s="1404"/>
      <c r="G46" s="1404"/>
      <c r="H46" s="1404">
        <v>1230</v>
      </c>
      <c r="I46" s="1405">
        <v>1230</v>
      </c>
      <c r="J46" s="1405">
        <f t="shared" si="1"/>
        <v>1230</v>
      </c>
      <c r="K46" s="1405">
        <f t="shared" si="1"/>
        <v>1230</v>
      </c>
      <c r="L46" s="1405">
        <f t="shared" si="1"/>
        <v>1230</v>
      </c>
      <c r="M46" s="1405">
        <f t="shared" si="2"/>
        <v>1353</v>
      </c>
      <c r="N46" s="1403">
        <f t="shared" si="3"/>
        <v>1353</v>
      </c>
      <c r="O46" s="1403">
        <f t="shared" si="3"/>
        <v>1353</v>
      </c>
      <c r="P46" s="1403">
        <f t="shared" si="3"/>
        <v>1353</v>
      </c>
      <c r="Q46" s="1403">
        <v>1353</v>
      </c>
      <c r="R46" s="25"/>
    </row>
    <row r="47" spans="1:18" ht="17.25">
      <c r="A47" s="608">
        <f t="shared" si="7"/>
        <v>5.0799999999999983</v>
      </c>
      <c r="B47" s="24" t="s">
        <v>532</v>
      </c>
      <c r="C47" s="37" t="s">
        <v>519</v>
      </c>
      <c r="D47" s="1403"/>
      <c r="E47" s="1404"/>
      <c r="F47" s="1404"/>
      <c r="G47" s="1404"/>
      <c r="H47" s="1404">
        <v>1680</v>
      </c>
      <c r="I47" s="1405">
        <v>1680</v>
      </c>
      <c r="J47" s="1405">
        <f t="shared" si="1"/>
        <v>1680</v>
      </c>
      <c r="K47" s="1405">
        <f t="shared" si="1"/>
        <v>1680</v>
      </c>
      <c r="L47" s="1405">
        <f t="shared" si="1"/>
        <v>1680</v>
      </c>
      <c r="M47" s="1405">
        <f t="shared" si="2"/>
        <v>1848.0000000000002</v>
      </c>
      <c r="N47" s="1403">
        <f t="shared" si="3"/>
        <v>1848.0000000000002</v>
      </c>
      <c r="O47" s="1403">
        <f t="shared" si="3"/>
        <v>1848.0000000000002</v>
      </c>
      <c r="P47" s="1403">
        <f t="shared" si="3"/>
        <v>1848.0000000000002</v>
      </c>
      <c r="Q47" s="1403">
        <v>1848.0000000000002</v>
      </c>
      <c r="R47" s="25"/>
    </row>
    <row r="48" spans="1:18" ht="17.25">
      <c r="A48" s="608">
        <f t="shared" si="7"/>
        <v>5.0899999999999981</v>
      </c>
      <c r="B48" s="24" t="s">
        <v>533</v>
      </c>
      <c r="C48" s="37" t="s">
        <v>519</v>
      </c>
      <c r="D48" s="1410"/>
      <c r="E48" s="1411"/>
      <c r="F48" s="1411"/>
      <c r="G48" s="1411"/>
      <c r="H48" s="1404">
        <v>2308</v>
      </c>
      <c r="I48" s="1405">
        <v>2308</v>
      </c>
      <c r="J48" s="1405">
        <f t="shared" si="1"/>
        <v>2308</v>
      </c>
      <c r="K48" s="1405">
        <f t="shared" si="1"/>
        <v>2308</v>
      </c>
      <c r="L48" s="1405">
        <f t="shared" si="1"/>
        <v>2308</v>
      </c>
      <c r="M48" s="1405">
        <f t="shared" si="2"/>
        <v>2538.8000000000002</v>
      </c>
      <c r="N48" s="1403">
        <f t="shared" si="3"/>
        <v>2538.8000000000002</v>
      </c>
      <c r="O48" s="1403">
        <f t="shared" si="3"/>
        <v>2538.8000000000002</v>
      </c>
      <c r="P48" s="1403">
        <f t="shared" si="3"/>
        <v>2538.8000000000002</v>
      </c>
      <c r="Q48" s="1403">
        <v>2538.8000000000002</v>
      </c>
      <c r="R48" s="25"/>
    </row>
    <row r="49" spans="1:18" ht="15" customHeight="1">
      <c r="A49" s="580">
        <v>6</v>
      </c>
      <c r="B49" s="581" t="s">
        <v>537</v>
      </c>
      <c r="C49" s="445"/>
      <c r="D49" s="1407"/>
      <c r="E49" s="1408"/>
      <c r="F49" s="1408"/>
      <c r="G49" s="1408"/>
      <c r="H49" s="1408"/>
      <c r="I49" s="1408"/>
      <c r="J49" s="1408"/>
      <c r="K49" s="1408"/>
      <c r="L49" s="1408"/>
      <c r="M49" s="1408"/>
      <c r="N49" s="1407"/>
      <c r="O49" s="1407"/>
      <c r="P49" s="1407"/>
      <c r="Q49" s="1407"/>
      <c r="R49" s="330"/>
    </row>
    <row r="50" spans="1:18" ht="17.25">
      <c r="A50" s="608">
        <f>A49+0.01</f>
        <v>6.01</v>
      </c>
      <c r="B50" s="24" t="s">
        <v>525</v>
      </c>
      <c r="C50" s="37" t="s">
        <v>519</v>
      </c>
      <c r="D50" s="1403"/>
      <c r="E50" s="1404"/>
      <c r="F50" s="1404"/>
      <c r="G50" s="1404"/>
      <c r="H50" s="1404">
        <v>25</v>
      </c>
      <c r="I50" s="1405">
        <v>25</v>
      </c>
      <c r="J50" s="1405">
        <f t="shared" si="1"/>
        <v>25</v>
      </c>
      <c r="K50" s="1405">
        <f t="shared" si="1"/>
        <v>25</v>
      </c>
      <c r="L50" s="1405">
        <f t="shared" si="1"/>
        <v>25</v>
      </c>
      <c r="M50" s="1405">
        <f t="shared" si="2"/>
        <v>27.500000000000004</v>
      </c>
      <c r="N50" s="1403">
        <f t="shared" si="3"/>
        <v>27.500000000000004</v>
      </c>
      <c r="O50" s="1403">
        <f t="shared" si="3"/>
        <v>27.500000000000004</v>
      </c>
      <c r="P50" s="1403">
        <f t="shared" si="3"/>
        <v>27.500000000000004</v>
      </c>
      <c r="Q50" s="1403">
        <v>27.500000000000004</v>
      </c>
      <c r="R50" s="25"/>
    </row>
    <row r="51" spans="1:18" ht="17.25">
      <c r="A51" s="608">
        <f t="shared" ref="A51:A55" si="8">A50+0.01</f>
        <v>6.02</v>
      </c>
      <c r="B51" s="24" t="s">
        <v>526</v>
      </c>
      <c r="C51" s="37" t="s">
        <v>519</v>
      </c>
      <c r="D51" s="1403"/>
      <c r="E51" s="1404"/>
      <c r="F51" s="1404"/>
      <c r="G51" s="1404"/>
      <c r="H51" s="1404">
        <v>40</v>
      </c>
      <c r="I51" s="1405">
        <v>40</v>
      </c>
      <c r="J51" s="1405">
        <f t="shared" si="1"/>
        <v>40</v>
      </c>
      <c r="K51" s="1405">
        <f t="shared" si="1"/>
        <v>40</v>
      </c>
      <c r="L51" s="1405">
        <f t="shared" si="1"/>
        <v>40</v>
      </c>
      <c r="M51" s="1405">
        <f t="shared" si="2"/>
        <v>44</v>
      </c>
      <c r="N51" s="1403">
        <f t="shared" si="3"/>
        <v>44</v>
      </c>
      <c r="O51" s="1403">
        <f t="shared" si="3"/>
        <v>44</v>
      </c>
      <c r="P51" s="1403">
        <f t="shared" si="3"/>
        <v>44</v>
      </c>
      <c r="Q51" s="1403">
        <v>44</v>
      </c>
      <c r="R51" s="25"/>
    </row>
    <row r="52" spans="1:18" ht="17.25">
      <c r="A52" s="608">
        <f t="shared" si="8"/>
        <v>6.0299999999999994</v>
      </c>
      <c r="B52" s="24" t="s">
        <v>527</v>
      </c>
      <c r="C52" s="37" t="s">
        <v>519</v>
      </c>
      <c r="D52" s="1403"/>
      <c r="E52" s="1404"/>
      <c r="F52" s="1404"/>
      <c r="G52" s="1404"/>
      <c r="H52" s="1404">
        <v>65</v>
      </c>
      <c r="I52" s="1405">
        <v>65</v>
      </c>
      <c r="J52" s="1405">
        <f t="shared" si="1"/>
        <v>65</v>
      </c>
      <c r="K52" s="1405">
        <f t="shared" si="1"/>
        <v>65</v>
      </c>
      <c r="L52" s="1405">
        <f t="shared" si="1"/>
        <v>65</v>
      </c>
      <c r="M52" s="1405">
        <f t="shared" si="2"/>
        <v>71.5</v>
      </c>
      <c r="N52" s="1403">
        <f t="shared" si="3"/>
        <v>71.5</v>
      </c>
      <c r="O52" s="1403">
        <f t="shared" si="3"/>
        <v>71.5</v>
      </c>
      <c r="P52" s="1403">
        <f t="shared" si="3"/>
        <v>71.5</v>
      </c>
      <c r="Q52" s="1403">
        <v>71.5</v>
      </c>
      <c r="R52" s="25"/>
    </row>
    <row r="53" spans="1:18" ht="17.25">
      <c r="A53" s="608">
        <f t="shared" si="8"/>
        <v>6.0399999999999991</v>
      </c>
      <c r="B53" s="24" t="s">
        <v>528</v>
      </c>
      <c r="C53" s="37" t="s">
        <v>519</v>
      </c>
      <c r="D53" s="1403"/>
      <c r="E53" s="1404"/>
      <c r="F53" s="1404"/>
      <c r="G53" s="1404"/>
      <c r="H53" s="1404">
        <v>80</v>
      </c>
      <c r="I53" s="1405">
        <v>80</v>
      </c>
      <c r="J53" s="1405">
        <f t="shared" si="1"/>
        <v>80</v>
      </c>
      <c r="K53" s="1405">
        <f t="shared" si="1"/>
        <v>80</v>
      </c>
      <c r="L53" s="1405">
        <f t="shared" si="1"/>
        <v>80</v>
      </c>
      <c r="M53" s="1405">
        <f t="shared" si="2"/>
        <v>88</v>
      </c>
      <c r="N53" s="1403">
        <f t="shared" si="3"/>
        <v>88</v>
      </c>
      <c r="O53" s="1403">
        <f t="shared" si="3"/>
        <v>88</v>
      </c>
      <c r="P53" s="1403">
        <f t="shared" si="3"/>
        <v>88</v>
      </c>
      <c r="Q53" s="1403">
        <v>88</v>
      </c>
      <c r="R53" s="25"/>
    </row>
    <row r="54" spans="1:18" ht="17.25">
      <c r="A54" s="608">
        <f t="shared" si="8"/>
        <v>6.0499999999999989</v>
      </c>
      <c r="B54" s="24" t="s">
        <v>529</v>
      </c>
      <c r="C54" s="37" t="s">
        <v>519</v>
      </c>
      <c r="D54" s="1403"/>
      <c r="E54" s="1404"/>
      <c r="F54" s="1404"/>
      <c r="G54" s="1404"/>
      <c r="H54" s="1404">
        <v>175</v>
      </c>
      <c r="I54" s="1405">
        <v>175</v>
      </c>
      <c r="J54" s="1405">
        <f t="shared" si="1"/>
        <v>175</v>
      </c>
      <c r="K54" s="1405">
        <f t="shared" si="1"/>
        <v>175</v>
      </c>
      <c r="L54" s="1405">
        <f t="shared" si="1"/>
        <v>175</v>
      </c>
      <c r="M54" s="1405">
        <f t="shared" si="2"/>
        <v>192.50000000000003</v>
      </c>
      <c r="N54" s="1403">
        <f t="shared" si="3"/>
        <v>192.50000000000003</v>
      </c>
      <c r="O54" s="1403">
        <f t="shared" si="3"/>
        <v>192.50000000000003</v>
      </c>
      <c r="P54" s="1403">
        <f t="shared" si="3"/>
        <v>192.50000000000003</v>
      </c>
      <c r="Q54" s="1403">
        <v>192.50000000000003</v>
      </c>
      <c r="R54" s="25"/>
    </row>
    <row r="55" spans="1:18" ht="17.25">
      <c r="A55" s="608">
        <f t="shared" si="8"/>
        <v>6.0599999999999987</v>
      </c>
      <c r="B55" s="24" t="s">
        <v>530</v>
      </c>
      <c r="C55" s="37" t="s">
        <v>519</v>
      </c>
      <c r="D55" s="1403"/>
      <c r="E55" s="1404"/>
      <c r="F55" s="1404"/>
      <c r="G55" s="1404"/>
      <c r="H55" s="1404">
        <v>250</v>
      </c>
      <c r="I55" s="1405">
        <v>250</v>
      </c>
      <c r="J55" s="1405">
        <f t="shared" si="1"/>
        <v>250</v>
      </c>
      <c r="K55" s="1405">
        <f t="shared" si="1"/>
        <v>250</v>
      </c>
      <c r="L55" s="1405">
        <f t="shared" si="1"/>
        <v>250</v>
      </c>
      <c r="M55" s="1405">
        <f t="shared" si="2"/>
        <v>275</v>
      </c>
      <c r="N55" s="1403">
        <f t="shared" si="3"/>
        <v>275</v>
      </c>
      <c r="O55" s="1403">
        <f t="shared" si="3"/>
        <v>275</v>
      </c>
      <c r="P55" s="1403">
        <f t="shared" si="3"/>
        <v>275</v>
      </c>
      <c r="Q55" s="1403">
        <v>275</v>
      </c>
      <c r="R55" s="25"/>
    </row>
    <row r="56" spans="1:18" ht="15" customHeight="1">
      <c r="A56" s="582">
        <v>7</v>
      </c>
      <c r="B56" s="385" t="s">
        <v>538</v>
      </c>
      <c r="C56" s="445"/>
      <c r="D56" s="1407"/>
      <c r="E56" s="1408"/>
      <c r="F56" s="1408"/>
      <c r="G56" s="1408"/>
      <c r="H56" s="1408"/>
      <c r="I56" s="1408"/>
      <c r="J56" s="1408"/>
      <c r="K56" s="1408"/>
      <c r="L56" s="1408"/>
      <c r="M56" s="1408"/>
      <c r="N56" s="1407"/>
      <c r="O56" s="1407"/>
      <c r="P56" s="1407"/>
      <c r="Q56" s="1407"/>
      <c r="R56" s="330"/>
    </row>
    <row r="57" spans="1:18" ht="17.25">
      <c r="A57" s="608">
        <f>A56+0.01</f>
        <v>7.01</v>
      </c>
      <c r="B57" s="24" t="s">
        <v>526</v>
      </c>
      <c r="C57" s="37" t="s">
        <v>519</v>
      </c>
      <c r="D57" s="1403"/>
      <c r="E57" s="1404"/>
      <c r="F57" s="1404"/>
      <c r="G57" s="1404"/>
      <c r="H57" s="1404">
        <v>120</v>
      </c>
      <c r="I57" s="1405">
        <v>120</v>
      </c>
      <c r="J57" s="1405">
        <f t="shared" si="1"/>
        <v>120</v>
      </c>
      <c r="K57" s="1405">
        <f t="shared" si="1"/>
        <v>120</v>
      </c>
      <c r="L57" s="1405">
        <f t="shared" si="1"/>
        <v>120</v>
      </c>
      <c r="M57" s="1405">
        <f t="shared" si="2"/>
        <v>132</v>
      </c>
      <c r="N57" s="1403">
        <f t="shared" si="3"/>
        <v>132</v>
      </c>
      <c r="O57" s="1403">
        <f t="shared" si="3"/>
        <v>132</v>
      </c>
      <c r="P57" s="1403">
        <f t="shared" si="3"/>
        <v>132</v>
      </c>
      <c r="Q57" s="1403">
        <v>132</v>
      </c>
      <c r="R57" s="25"/>
    </row>
    <row r="58" spans="1:18" ht="17.25">
      <c r="A58" s="608">
        <f t="shared" ref="A58:A64" si="9">A57+0.01</f>
        <v>7.02</v>
      </c>
      <c r="B58" s="24" t="s">
        <v>527</v>
      </c>
      <c r="C58" s="37" t="s">
        <v>519</v>
      </c>
      <c r="D58" s="1403"/>
      <c r="E58" s="1404"/>
      <c r="F58" s="1404"/>
      <c r="G58" s="1404"/>
      <c r="H58" s="1404">
        <v>162</v>
      </c>
      <c r="I58" s="1405">
        <v>162</v>
      </c>
      <c r="J58" s="1405">
        <f t="shared" si="1"/>
        <v>162</v>
      </c>
      <c r="K58" s="1405">
        <f t="shared" si="1"/>
        <v>162</v>
      </c>
      <c r="L58" s="1405">
        <f t="shared" si="1"/>
        <v>162</v>
      </c>
      <c r="M58" s="1405">
        <f t="shared" si="2"/>
        <v>178.20000000000002</v>
      </c>
      <c r="N58" s="1403">
        <f t="shared" si="3"/>
        <v>178.20000000000002</v>
      </c>
      <c r="O58" s="1403">
        <f t="shared" si="3"/>
        <v>178.20000000000002</v>
      </c>
      <c r="P58" s="1403">
        <f t="shared" si="3"/>
        <v>178.20000000000002</v>
      </c>
      <c r="Q58" s="1403">
        <v>178.20000000000002</v>
      </c>
      <c r="R58" s="25"/>
    </row>
    <row r="59" spans="1:18" ht="17.25">
      <c r="A59" s="608">
        <f t="shared" si="9"/>
        <v>7.0299999999999994</v>
      </c>
      <c r="B59" s="24" t="s">
        <v>528</v>
      </c>
      <c r="C59" s="37" t="s">
        <v>519</v>
      </c>
      <c r="D59" s="1403"/>
      <c r="E59" s="1404"/>
      <c r="F59" s="1404"/>
      <c r="G59" s="1404"/>
      <c r="H59" s="1404">
        <v>148</v>
      </c>
      <c r="I59" s="1405">
        <v>148</v>
      </c>
      <c r="J59" s="1405">
        <f t="shared" si="1"/>
        <v>148</v>
      </c>
      <c r="K59" s="1405">
        <f t="shared" si="1"/>
        <v>148</v>
      </c>
      <c r="L59" s="1405">
        <f t="shared" si="1"/>
        <v>148</v>
      </c>
      <c r="M59" s="1405">
        <f t="shared" si="2"/>
        <v>162.80000000000001</v>
      </c>
      <c r="N59" s="1403">
        <f t="shared" si="3"/>
        <v>162.80000000000001</v>
      </c>
      <c r="O59" s="1403">
        <f t="shared" si="3"/>
        <v>162.80000000000001</v>
      </c>
      <c r="P59" s="1403">
        <f t="shared" si="3"/>
        <v>162.80000000000001</v>
      </c>
      <c r="Q59" s="1403">
        <v>162.80000000000001</v>
      </c>
      <c r="R59" s="25"/>
    </row>
    <row r="60" spans="1:18" ht="17.25">
      <c r="A60" s="608">
        <f t="shared" si="9"/>
        <v>7.0399999999999991</v>
      </c>
      <c r="B60" s="24" t="s">
        <v>529</v>
      </c>
      <c r="C60" s="37" t="s">
        <v>519</v>
      </c>
      <c r="D60" s="1410"/>
      <c r="E60" s="1411"/>
      <c r="F60" s="1411"/>
      <c r="G60" s="1411"/>
      <c r="H60" s="1404">
        <v>325</v>
      </c>
      <c r="I60" s="1405">
        <v>325</v>
      </c>
      <c r="J60" s="1405">
        <f t="shared" si="1"/>
        <v>325</v>
      </c>
      <c r="K60" s="1405">
        <f t="shared" si="1"/>
        <v>325</v>
      </c>
      <c r="L60" s="1405">
        <f t="shared" si="1"/>
        <v>325</v>
      </c>
      <c r="M60" s="1405">
        <f t="shared" si="2"/>
        <v>357.50000000000006</v>
      </c>
      <c r="N60" s="1403">
        <f t="shared" si="3"/>
        <v>357.50000000000006</v>
      </c>
      <c r="O60" s="1403">
        <f t="shared" si="3"/>
        <v>357.50000000000006</v>
      </c>
      <c r="P60" s="1403">
        <f t="shared" si="3"/>
        <v>357.50000000000006</v>
      </c>
      <c r="Q60" s="1403">
        <v>357.50000000000006</v>
      </c>
      <c r="R60" s="25"/>
    </row>
    <row r="61" spans="1:18" ht="17.25">
      <c r="A61" s="608">
        <f t="shared" si="9"/>
        <v>7.0499999999999989</v>
      </c>
      <c r="B61" s="24" t="s">
        <v>530</v>
      </c>
      <c r="C61" s="37" t="s">
        <v>519</v>
      </c>
      <c r="D61" s="1403"/>
      <c r="E61" s="1404"/>
      <c r="F61" s="1404"/>
      <c r="G61" s="1404"/>
      <c r="H61" s="1404">
        <v>517</v>
      </c>
      <c r="I61" s="1405">
        <v>517</v>
      </c>
      <c r="J61" s="1405">
        <f t="shared" si="1"/>
        <v>517</v>
      </c>
      <c r="K61" s="1405">
        <f t="shared" si="1"/>
        <v>517</v>
      </c>
      <c r="L61" s="1405">
        <f t="shared" si="1"/>
        <v>517</v>
      </c>
      <c r="M61" s="1405">
        <f t="shared" si="2"/>
        <v>568.70000000000005</v>
      </c>
      <c r="N61" s="1403">
        <f t="shared" si="3"/>
        <v>568.70000000000005</v>
      </c>
      <c r="O61" s="1403">
        <f t="shared" si="3"/>
        <v>568.70000000000005</v>
      </c>
      <c r="P61" s="1403">
        <f t="shared" si="3"/>
        <v>568.70000000000005</v>
      </c>
      <c r="Q61" s="1403">
        <v>568.70000000000005</v>
      </c>
      <c r="R61" s="25"/>
    </row>
    <row r="62" spans="1:18" ht="17.25">
      <c r="A62" s="608">
        <f t="shared" si="9"/>
        <v>7.0599999999999987</v>
      </c>
      <c r="B62" s="24" t="s">
        <v>531</v>
      </c>
      <c r="C62" s="37" t="s">
        <v>519</v>
      </c>
      <c r="D62" s="1403"/>
      <c r="E62" s="1404"/>
      <c r="F62" s="1404"/>
      <c r="G62" s="1404"/>
      <c r="H62" s="1404">
        <v>918</v>
      </c>
      <c r="I62" s="1405">
        <v>918</v>
      </c>
      <c r="J62" s="1405">
        <f t="shared" si="1"/>
        <v>918</v>
      </c>
      <c r="K62" s="1405">
        <f t="shared" si="1"/>
        <v>918</v>
      </c>
      <c r="L62" s="1405">
        <f t="shared" si="1"/>
        <v>918</v>
      </c>
      <c r="M62" s="1405">
        <f t="shared" si="2"/>
        <v>1009.8000000000001</v>
      </c>
      <c r="N62" s="1403">
        <f t="shared" si="3"/>
        <v>1009.8000000000001</v>
      </c>
      <c r="O62" s="1403">
        <f t="shared" si="3"/>
        <v>1009.8000000000001</v>
      </c>
      <c r="P62" s="1403">
        <f t="shared" si="3"/>
        <v>1009.8000000000001</v>
      </c>
      <c r="Q62" s="1403">
        <v>1009.8000000000001</v>
      </c>
      <c r="R62" s="25"/>
    </row>
    <row r="63" spans="1:18" ht="17.25">
      <c r="A63" s="608">
        <f t="shared" si="9"/>
        <v>7.0699999999999985</v>
      </c>
      <c r="B63" s="24" t="s">
        <v>532</v>
      </c>
      <c r="C63" s="37" t="s">
        <v>519</v>
      </c>
      <c r="D63" s="1403"/>
      <c r="E63" s="1404"/>
      <c r="F63" s="1404"/>
      <c r="G63" s="1404"/>
      <c r="H63" s="1404">
        <v>1450</v>
      </c>
      <c r="I63" s="1405">
        <v>1450</v>
      </c>
      <c r="J63" s="1405">
        <f t="shared" si="1"/>
        <v>1450</v>
      </c>
      <c r="K63" s="1405">
        <f t="shared" si="1"/>
        <v>1450</v>
      </c>
      <c r="L63" s="1405">
        <f t="shared" si="1"/>
        <v>1450</v>
      </c>
      <c r="M63" s="1405">
        <f t="shared" si="2"/>
        <v>1595.0000000000002</v>
      </c>
      <c r="N63" s="1403">
        <f t="shared" si="3"/>
        <v>1595.0000000000002</v>
      </c>
      <c r="O63" s="1403">
        <f t="shared" si="3"/>
        <v>1595.0000000000002</v>
      </c>
      <c r="P63" s="1403">
        <f t="shared" si="3"/>
        <v>1595.0000000000002</v>
      </c>
      <c r="Q63" s="1403">
        <v>1595.0000000000002</v>
      </c>
      <c r="R63" s="25"/>
    </row>
    <row r="64" spans="1:18" ht="17.25">
      <c r="A64" s="608">
        <f t="shared" si="9"/>
        <v>7.0799999999999983</v>
      </c>
      <c r="B64" s="24" t="s">
        <v>533</v>
      </c>
      <c r="C64" s="37" t="s">
        <v>519</v>
      </c>
      <c r="D64" s="1403"/>
      <c r="E64" s="1404"/>
      <c r="F64" s="1404"/>
      <c r="G64" s="1404"/>
      <c r="H64" s="1404">
        <v>2750</v>
      </c>
      <c r="I64" s="1405">
        <v>2750</v>
      </c>
      <c r="J64" s="1405">
        <f t="shared" si="1"/>
        <v>2750</v>
      </c>
      <c r="K64" s="1405">
        <f t="shared" si="1"/>
        <v>2750</v>
      </c>
      <c r="L64" s="1405">
        <f t="shared" si="1"/>
        <v>2750</v>
      </c>
      <c r="M64" s="1405">
        <f t="shared" si="2"/>
        <v>3025.0000000000005</v>
      </c>
      <c r="N64" s="1403">
        <f t="shared" si="3"/>
        <v>3025.0000000000005</v>
      </c>
      <c r="O64" s="1403">
        <f t="shared" si="3"/>
        <v>3025.0000000000005</v>
      </c>
      <c r="P64" s="1403">
        <f t="shared" si="3"/>
        <v>3025.0000000000005</v>
      </c>
      <c r="Q64" s="1403">
        <v>3025.0000000000005</v>
      </c>
      <c r="R64" s="25"/>
    </row>
    <row r="65" spans="1:18" ht="15" customHeight="1">
      <c r="A65" s="583">
        <v>8</v>
      </c>
      <c r="B65" s="581" t="s">
        <v>539</v>
      </c>
      <c r="C65" s="445"/>
      <c r="D65" s="1407"/>
      <c r="E65" s="1408"/>
      <c r="F65" s="1408"/>
      <c r="G65" s="1408"/>
      <c r="H65" s="1408"/>
      <c r="I65" s="1408"/>
      <c r="J65" s="1408"/>
      <c r="K65" s="1408"/>
      <c r="L65" s="1408"/>
      <c r="M65" s="1408"/>
      <c r="N65" s="1407"/>
      <c r="O65" s="1407"/>
      <c r="P65" s="1407"/>
      <c r="Q65" s="1407"/>
      <c r="R65" s="330"/>
    </row>
    <row r="66" spans="1:18" ht="17.25">
      <c r="A66" s="608">
        <f>A65+0.01</f>
        <v>8.01</v>
      </c>
      <c r="B66" s="24" t="s">
        <v>526</v>
      </c>
      <c r="C66" s="37" t="s">
        <v>519</v>
      </c>
      <c r="D66" s="1403"/>
      <c r="E66" s="1404"/>
      <c r="F66" s="1404"/>
      <c r="G66" s="1404"/>
      <c r="H66" s="1404">
        <v>64</v>
      </c>
      <c r="I66" s="1405">
        <v>64</v>
      </c>
      <c r="J66" s="1405">
        <f t="shared" si="1"/>
        <v>64</v>
      </c>
      <c r="K66" s="1405">
        <f t="shared" si="1"/>
        <v>64</v>
      </c>
      <c r="L66" s="1405">
        <f t="shared" si="1"/>
        <v>64</v>
      </c>
      <c r="M66" s="1405">
        <f t="shared" si="2"/>
        <v>70.400000000000006</v>
      </c>
      <c r="N66" s="1403">
        <f t="shared" si="3"/>
        <v>70.400000000000006</v>
      </c>
      <c r="O66" s="1403">
        <f t="shared" si="3"/>
        <v>70.400000000000006</v>
      </c>
      <c r="P66" s="1403">
        <f t="shared" si="3"/>
        <v>70.400000000000006</v>
      </c>
      <c r="Q66" s="1403">
        <v>70.400000000000006</v>
      </c>
      <c r="R66" s="25"/>
    </row>
    <row r="67" spans="1:18" ht="17.25">
      <c r="A67" s="608">
        <f t="shared" ref="A67:A73" si="10">A66+0.01</f>
        <v>8.02</v>
      </c>
      <c r="B67" s="24" t="s">
        <v>527</v>
      </c>
      <c r="C67" s="37" t="s">
        <v>519</v>
      </c>
      <c r="D67" s="1403"/>
      <c r="E67" s="1404"/>
      <c r="F67" s="1404"/>
      <c r="G67" s="1404"/>
      <c r="H67" s="1404">
        <v>87</v>
      </c>
      <c r="I67" s="1405">
        <v>87</v>
      </c>
      <c r="J67" s="1405">
        <f t="shared" si="1"/>
        <v>87</v>
      </c>
      <c r="K67" s="1405">
        <f t="shared" si="1"/>
        <v>87</v>
      </c>
      <c r="L67" s="1405">
        <f t="shared" si="1"/>
        <v>87</v>
      </c>
      <c r="M67" s="1405">
        <f t="shared" si="2"/>
        <v>95.7</v>
      </c>
      <c r="N67" s="1403">
        <f t="shared" si="3"/>
        <v>95.7</v>
      </c>
      <c r="O67" s="1403">
        <f t="shared" si="3"/>
        <v>95.7</v>
      </c>
      <c r="P67" s="1403">
        <f t="shared" si="3"/>
        <v>95.7</v>
      </c>
      <c r="Q67" s="1403">
        <v>95.7</v>
      </c>
      <c r="R67" s="25"/>
    </row>
    <row r="68" spans="1:18" ht="17.25">
      <c r="A68" s="608">
        <f t="shared" si="10"/>
        <v>8.0299999999999994</v>
      </c>
      <c r="B68" s="24" t="s">
        <v>528</v>
      </c>
      <c r="C68" s="37" t="s">
        <v>519</v>
      </c>
      <c r="D68" s="1403"/>
      <c r="E68" s="1404"/>
      <c r="F68" s="1404"/>
      <c r="G68" s="1404"/>
      <c r="H68" s="1404">
        <v>134</v>
      </c>
      <c r="I68" s="1405">
        <v>134</v>
      </c>
      <c r="J68" s="1405">
        <f t="shared" si="1"/>
        <v>134</v>
      </c>
      <c r="K68" s="1405">
        <f t="shared" si="1"/>
        <v>134</v>
      </c>
      <c r="L68" s="1405">
        <f t="shared" si="1"/>
        <v>134</v>
      </c>
      <c r="M68" s="1405">
        <f t="shared" si="2"/>
        <v>147.4</v>
      </c>
      <c r="N68" s="1403">
        <f t="shared" si="3"/>
        <v>147.4</v>
      </c>
      <c r="O68" s="1403">
        <f t="shared" si="3"/>
        <v>147.4</v>
      </c>
      <c r="P68" s="1403">
        <f t="shared" si="3"/>
        <v>147.4</v>
      </c>
      <c r="Q68" s="1403">
        <v>147.4</v>
      </c>
      <c r="R68" s="25"/>
    </row>
    <row r="69" spans="1:18" ht="17.25">
      <c r="A69" s="608">
        <f t="shared" si="10"/>
        <v>8.0399999999999991</v>
      </c>
      <c r="B69" s="24" t="s">
        <v>529</v>
      </c>
      <c r="C69" s="37" t="s">
        <v>519</v>
      </c>
      <c r="D69" s="1403"/>
      <c r="E69" s="1404"/>
      <c r="F69" s="1404"/>
      <c r="G69" s="1404"/>
      <c r="H69" s="1404">
        <v>168</v>
      </c>
      <c r="I69" s="1405">
        <v>168</v>
      </c>
      <c r="J69" s="1405">
        <f t="shared" ref="J69:L132" si="11">I69</f>
        <v>168</v>
      </c>
      <c r="K69" s="1405">
        <f t="shared" si="11"/>
        <v>168</v>
      </c>
      <c r="L69" s="1405">
        <f t="shared" si="11"/>
        <v>168</v>
      </c>
      <c r="M69" s="1405">
        <f t="shared" ref="M69:M132" si="12">L69*1.1</f>
        <v>184.8</v>
      </c>
      <c r="N69" s="1403">
        <f t="shared" ref="N69:P132" si="13">M69</f>
        <v>184.8</v>
      </c>
      <c r="O69" s="1403">
        <f t="shared" si="13"/>
        <v>184.8</v>
      </c>
      <c r="P69" s="1403">
        <f t="shared" si="13"/>
        <v>184.8</v>
      </c>
      <c r="Q69" s="1403">
        <v>184.8</v>
      </c>
      <c r="R69" s="25"/>
    </row>
    <row r="70" spans="1:18" ht="17.25">
      <c r="A70" s="608">
        <f t="shared" si="10"/>
        <v>8.0499999999999989</v>
      </c>
      <c r="B70" s="24" t="s">
        <v>530</v>
      </c>
      <c r="C70" s="37" t="s">
        <v>519</v>
      </c>
      <c r="D70" s="1403"/>
      <c r="E70" s="1404"/>
      <c r="F70" s="1404"/>
      <c r="G70" s="1404"/>
      <c r="H70" s="1404">
        <v>280</v>
      </c>
      <c r="I70" s="1405">
        <v>280</v>
      </c>
      <c r="J70" s="1405">
        <f t="shared" si="11"/>
        <v>280</v>
      </c>
      <c r="K70" s="1405">
        <f t="shared" si="11"/>
        <v>280</v>
      </c>
      <c r="L70" s="1405">
        <f t="shared" si="11"/>
        <v>280</v>
      </c>
      <c r="M70" s="1405">
        <f t="shared" si="12"/>
        <v>308</v>
      </c>
      <c r="N70" s="1403">
        <f t="shared" si="13"/>
        <v>308</v>
      </c>
      <c r="O70" s="1403">
        <f t="shared" si="13"/>
        <v>308</v>
      </c>
      <c r="P70" s="1403">
        <f t="shared" si="13"/>
        <v>308</v>
      </c>
      <c r="Q70" s="1403">
        <v>308</v>
      </c>
      <c r="R70" s="25"/>
    </row>
    <row r="71" spans="1:18" ht="17.25">
      <c r="A71" s="608">
        <f t="shared" si="10"/>
        <v>8.0599999999999987</v>
      </c>
      <c r="B71" s="24" t="s">
        <v>531</v>
      </c>
      <c r="C71" s="37" t="s">
        <v>519</v>
      </c>
      <c r="D71" s="1403"/>
      <c r="E71" s="1404"/>
      <c r="F71" s="1404"/>
      <c r="G71" s="1404"/>
      <c r="H71" s="1404">
        <v>430</v>
      </c>
      <c r="I71" s="1405">
        <v>430</v>
      </c>
      <c r="J71" s="1405">
        <f t="shared" si="11"/>
        <v>430</v>
      </c>
      <c r="K71" s="1405">
        <f t="shared" si="11"/>
        <v>430</v>
      </c>
      <c r="L71" s="1405">
        <f t="shared" si="11"/>
        <v>430</v>
      </c>
      <c r="M71" s="1405">
        <f t="shared" si="12"/>
        <v>473.00000000000006</v>
      </c>
      <c r="N71" s="1403">
        <f t="shared" si="13"/>
        <v>473.00000000000006</v>
      </c>
      <c r="O71" s="1403">
        <f t="shared" si="13"/>
        <v>473.00000000000006</v>
      </c>
      <c r="P71" s="1403">
        <f t="shared" si="13"/>
        <v>473.00000000000006</v>
      </c>
      <c r="Q71" s="1403">
        <v>473.00000000000006</v>
      </c>
      <c r="R71" s="25"/>
    </row>
    <row r="72" spans="1:18" ht="17.25">
      <c r="A72" s="608">
        <f t="shared" si="10"/>
        <v>8.0699999999999985</v>
      </c>
      <c r="B72" s="24" t="s">
        <v>532</v>
      </c>
      <c r="C72" s="37" t="s">
        <v>519</v>
      </c>
      <c r="D72" s="1403"/>
      <c r="E72" s="1404"/>
      <c r="F72" s="1404"/>
      <c r="G72" s="1404"/>
      <c r="H72" s="1404">
        <v>675</v>
      </c>
      <c r="I72" s="1405">
        <v>675</v>
      </c>
      <c r="J72" s="1405">
        <f t="shared" si="11"/>
        <v>675</v>
      </c>
      <c r="K72" s="1405">
        <f t="shared" si="11"/>
        <v>675</v>
      </c>
      <c r="L72" s="1405">
        <f t="shared" si="11"/>
        <v>675</v>
      </c>
      <c r="M72" s="1405">
        <f t="shared" si="12"/>
        <v>742.50000000000011</v>
      </c>
      <c r="N72" s="1403">
        <f t="shared" si="13"/>
        <v>742.50000000000011</v>
      </c>
      <c r="O72" s="1403">
        <f t="shared" si="13"/>
        <v>742.50000000000011</v>
      </c>
      <c r="P72" s="1403">
        <f t="shared" si="13"/>
        <v>742.50000000000011</v>
      </c>
      <c r="Q72" s="1403">
        <v>742.50000000000011</v>
      </c>
      <c r="R72" s="25"/>
    </row>
    <row r="73" spans="1:18" ht="17.25">
      <c r="A73" s="608">
        <f t="shared" si="10"/>
        <v>8.0799999999999983</v>
      </c>
      <c r="B73" s="24" t="s">
        <v>533</v>
      </c>
      <c r="C73" s="37" t="s">
        <v>519</v>
      </c>
      <c r="D73" s="1403"/>
      <c r="E73" s="1404"/>
      <c r="F73" s="1404"/>
      <c r="G73" s="1404"/>
      <c r="H73" s="1404">
        <v>1020</v>
      </c>
      <c r="I73" s="1405">
        <v>1020</v>
      </c>
      <c r="J73" s="1405">
        <f t="shared" si="11"/>
        <v>1020</v>
      </c>
      <c r="K73" s="1405">
        <f t="shared" si="11"/>
        <v>1020</v>
      </c>
      <c r="L73" s="1405">
        <f t="shared" si="11"/>
        <v>1020</v>
      </c>
      <c r="M73" s="1405">
        <f t="shared" si="12"/>
        <v>1122</v>
      </c>
      <c r="N73" s="1403">
        <f t="shared" si="13"/>
        <v>1122</v>
      </c>
      <c r="O73" s="1403">
        <f t="shared" si="13"/>
        <v>1122</v>
      </c>
      <c r="P73" s="1403">
        <f t="shared" si="13"/>
        <v>1122</v>
      </c>
      <c r="Q73" s="1403">
        <v>1122</v>
      </c>
      <c r="R73" s="25"/>
    </row>
    <row r="74" spans="1:18" ht="15" customHeight="1">
      <c r="A74" s="580">
        <v>9</v>
      </c>
      <c r="B74" s="581" t="s">
        <v>540</v>
      </c>
      <c r="C74" s="445"/>
      <c r="D74" s="1407"/>
      <c r="E74" s="1408"/>
      <c r="F74" s="1408"/>
      <c r="G74" s="1408"/>
      <c r="H74" s="1408"/>
      <c r="I74" s="1408"/>
      <c r="J74" s="1408"/>
      <c r="K74" s="1408"/>
      <c r="L74" s="1408"/>
      <c r="M74" s="1408"/>
      <c r="N74" s="1407"/>
      <c r="O74" s="1407"/>
      <c r="P74" s="1407"/>
      <c r="Q74" s="1407"/>
      <c r="R74" s="330"/>
    </row>
    <row r="75" spans="1:18" ht="17.25">
      <c r="A75" s="608">
        <f>A74+0.01</f>
        <v>9.01</v>
      </c>
      <c r="B75" s="24" t="s">
        <v>526</v>
      </c>
      <c r="C75" s="37" t="s">
        <v>519</v>
      </c>
      <c r="D75" s="1403"/>
      <c r="E75" s="1404"/>
      <c r="F75" s="1404"/>
      <c r="G75" s="1404"/>
      <c r="H75" s="1404">
        <v>77</v>
      </c>
      <c r="I75" s="1405">
        <v>77</v>
      </c>
      <c r="J75" s="1405">
        <f t="shared" si="11"/>
        <v>77</v>
      </c>
      <c r="K75" s="1405">
        <f t="shared" si="11"/>
        <v>77</v>
      </c>
      <c r="L75" s="1405">
        <f t="shared" si="11"/>
        <v>77</v>
      </c>
      <c r="M75" s="1405">
        <f t="shared" si="12"/>
        <v>84.7</v>
      </c>
      <c r="N75" s="1403">
        <f t="shared" si="13"/>
        <v>84.7</v>
      </c>
      <c r="O75" s="1403">
        <f t="shared" si="13"/>
        <v>84.7</v>
      </c>
      <c r="P75" s="1403">
        <f t="shared" si="13"/>
        <v>84.7</v>
      </c>
      <c r="Q75" s="1403">
        <v>84.7</v>
      </c>
      <c r="R75" s="25"/>
    </row>
    <row r="76" spans="1:18" ht="17.25">
      <c r="A76" s="608">
        <f t="shared" ref="A76:A82" si="14">A75+0.01</f>
        <v>9.02</v>
      </c>
      <c r="B76" s="24" t="s">
        <v>527</v>
      </c>
      <c r="C76" s="37" t="s">
        <v>519</v>
      </c>
      <c r="D76" s="1403"/>
      <c r="E76" s="1404"/>
      <c r="F76" s="1404"/>
      <c r="G76" s="1404"/>
      <c r="H76" s="1404">
        <v>120</v>
      </c>
      <c r="I76" s="1405">
        <v>120</v>
      </c>
      <c r="J76" s="1405">
        <f t="shared" si="11"/>
        <v>120</v>
      </c>
      <c r="K76" s="1405">
        <f t="shared" si="11"/>
        <v>120</v>
      </c>
      <c r="L76" s="1405">
        <f t="shared" si="11"/>
        <v>120</v>
      </c>
      <c r="M76" s="1405">
        <f t="shared" si="12"/>
        <v>132</v>
      </c>
      <c r="N76" s="1403">
        <f t="shared" si="13"/>
        <v>132</v>
      </c>
      <c r="O76" s="1403">
        <f t="shared" si="13"/>
        <v>132</v>
      </c>
      <c r="P76" s="1403">
        <f t="shared" si="13"/>
        <v>132</v>
      </c>
      <c r="Q76" s="1403">
        <v>132</v>
      </c>
      <c r="R76" s="25"/>
    </row>
    <row r="77" spans="1:18" ht="17.25">
      <c r="A77" s="608">
        <f t="shared" si="14"/>
        <v>9.0299999999999994</v>
      </c>
      <c r="B77" s="24" t="s">
        <v>528</v>
      </c>
      <c r="C77" s="37" t="s">
        <v>519</v>
      </c>
      <c r="D77" s="1403"/>
      <c r="E77" s="1404"/>
      <c r="F77" s="1404"/>
      <c r="G77" s="1404"/>
      <c r="H77" s="1404">
        <v>190</v>
      </c>
      <c r="I77" s="1405">
        <v>190</v>
      </c>
      <c r="J77" s="1405">
        <f t="shared" si="11"/>
        <v>190</v>
      </c>
      <c r="K77" s="1405">
        <f t="shared" si="11"/>
        <v>190</v>
      </c>
      <c r="L77" s="1405">
        <f t="shared" si="11"/>
        <v>190</v>
      </c>
      <c r="M77" s="1405">
        <f t="shared" si="12"/>
        <v>209.00000000000003</v>
      </c>
      <c r="N77" s="1403">
        <f t="shared" si="13"/>
        <v>209.00000000000003</v>
      </c>
      <c r="O77" s="1403">
        <f t="shared" si="13"/>
        <v>209.00000000000003</v>
      </c>
      <c r="P77" s="1403">
        <f t="shared" si="13"/>
        <v>209.00000000000003</v>
      </c>
      <c r="Q77" s="1403">
        <v>209.00000000000003</v>
      </c>
      <c r="R77" s="25"/>
    </row>
    <row r="78" spans="1:18" ht="17.25">
      <c r="A78" s="608">
        <f t="shared" si="14"/>
        <v>9.0399999999999991</v>
      </c>
      <c r="B78" s="24" t="s">
        <v>529</v>
      </c>
      <c r="C78" s="37" t="s">
        <v>519</v>
      </c>
      <c r="D78" s="1403"/>
      <c r="E78" s="1404"/>
      <c r="F78" s="1404"/>
      <c r="G78" s="1404"/>
      <c r="H78" s="1404">
        <v>255</v>
      </c>
      <c r="I78" s="1405">
        <v>255</v>
      </c>
      <c r="J78" s="1405">
        <f t="shared" si="11"/>
        <v>255</v>
      </c>
      <c r="K78" s="1405">
        <f t="shared" si="11"/>
        <v>255</v>
      </c>
      <c r="L78" s="1405">
        <f t="shared" si="11"/>
        <v>255</v>
      </c>
      <c r="M78" s="1405">
        <f t="shared" si="12"/>
        <v>280.5</v>
      </c>
      <c r="N78" s="1403">
        <f t="shared" si="13"/>
        <v>280.5</v>
      </c>
      <c r="O78" s="1403">
        <f t="shared" si="13"/>
        <v>280.5</v>
      </c>
      <c r="P78" s="1403">
        <f t="shared" si="13"/>
        <v>280.5</v>
      </c>
      <c r="Q78" s="1403">
        <v>280.5</v>
      </c>
      <c r="R78" s="25"/>
    </row>
    <row r="79" spans="1:18" ht="17.25">
      <c r="A79" s="608">
        <f t="shared" si="14"/>
        <v>9.0499999999999989</v>
      </c>
      <c r="B79" s="24" t="s">
        <v>530</v>
      </c>
      <c r="C79" s="37" t="s">
        <v>519</v>
      </c>
      <c r="D79" s="1403"/>
      <c r="E79" s="1404"/>
      <c r="F79" s="1404"/>
      <c r="G79" s="1404"/>
      <c r="H79" s="1404">
        <v>398</v>
      </c>
      <c r="I79" s="1405">
        <v>398</v>
      </c>
      <c r="J79" s="1405">
        <f t="shared" si="11"/>
        <v>398</v>
      </c>
      <c r="K79" s="1405">
        <f t="shared" si="11"/>
        <v>398</v>
      </c>
      <c r="L79" s="1405">
        <f t="shared" si="11"/>
        <v>398</v>
      </c>
      <c r="M79" s="1405">
        <f t="shared" si="12"/>
        <v>437.8</v>
      </c>
      <c r="N79" s="1403">
        <f t="shared" si="13"/>
        <v>437.8</v>
      </c>
      <c r="O79" s="1403">
        <f t="shared" si="13"/>
        <v>437.8</v>
      </c>
      <c r="P79" s="1403">
        <f t="shared" si="13"/>
        <v>437.8</v>
      </c>
      <c r="Q79" s="1403">
        <v>437.8</v>
      </c>
      <c r="R79" s="25"/>
    </row>
    <row r="80" spans="1:18" ht="17.25">
      <c r="A80" s="608">
        <f t="shared" si="14"/>
        <v>9.0599999999999987</v>
      </c>
      <c r="B80" s="24" t="s">
        <v>531</v>
      </c>
      <c r="C80" s="37" t="s">
        <v>519</v>
      </c>
      <c r="D80" s="1403"/>
      <c r="E80" s="1404"/>
      <c r="F80" s="1404"/>
      <c r="G80" s="1404"/>
      <c r="H80" s="1404">
        <v>705</v>
      </c>
      <c r="I80" s="1405">
        <v>705</v>
      </c>
      <c r="J80" s="1405">
        <f t="shared" si="11"/>
        <v>705</v>
      </c>
      <c r="K80" s="1405">
        <f t="shared" si="11"/>
        <v>705</v>
      </c>
      <c r="L80" s="1405">
        <f t="shared" si="11"/>
        <v>705</v>
      </c>
      <c r="M80" s="1405">
        <f t="shared" si="12"/>
        <v>775.50000000000011</v>
      </c>
      <c r="N80" s="1403">
        <f t="shared" si="13"/>
        <v>775.50000000000011</v>
      </c>
      <c r="O80" s="1403">
        <f t="shared" si="13"/>
        <v>775.50000000000011</v>
      </c>
      <c r="P80" s="1403">
        <f t="shared" si="13"/>
        <v>775.50000000000011</v>
      </c>
      <c r="Q80" s="1403">
        <v>775.50000000000011</v>
      </c>
      <c r="R80" s="25"/>
    </row>
    <row r="81" spans="1:18" ht="17.25">
      <c r="A81" s="608">
        <f t="shared" si="14"/>
        <v>9.0699999999999985</v>
      </c>
      <c r="B81" s="24" t="s">
        <v>532</v>
      </c>
      <c r="C81" s="37" t="s">
        <v>519</v>
      </c>
      <c r="D81" s="1410"/>
      <c r="E81" s="1411"/>
      <c r="F81" s="1411"/>
      <c r="G81" s="1411"/>
      <c r="H81" s="1404">
        <v>1005</v>
      </c>
      <c r="I81" s="1405">
        <v>1005</v>
      </c>
      <c r="J81" s="1405">
        <f t="shared" si="11"/>
        <v>1005</v>
      </c>
      <c r="K81" s="1405">
        <f t="shared" si="11"/>
        <v>1005</v>
      </c>
      <c r="L81" s="1405">
        <f t="shared" si="11"/>
        <v>1005</v>
      </c>
      <c r="M81" s="1405">
        <f t="shared" si="12"/>
        <v>1105.5</v>
      </c>
      <c r="N81" s="1403">
        <f t="shared" si="13"/>
        <v>1105.5</v>
      </c>
      <c r="O81" s="1403">
        <f t="shared" si="13"/>
        <v>1105.5</v>
      </c>
      <c r="P81" s="1403">
        <f t="shared" si="13"/>
        <v>1105.5</v>
      </c>
      <c r="Q81" s="1403">
        <v>1105.5</v>
      </c>
      <c r="R81" s="25"/>
    </row>
    <row r="82" spans="1:18" ht="17.25">
      <c r="A82" s="608">
        <f t="shared" si="14"/>
        <v>9.0799999999999983</v>
      </c>
      <c r="B82" s="24" t="s">
        <v>533</v>
      </c>
      <c r="C82" s="37" t="s">
        <v>519</v>
      </c>
      <c r="D82" s="1403"/>
      <c r="E82" s="1404"/>
      <c r="F82" s="1404"/>
      <c r="G82" s="1404"/>
      <c r="H82" s="1404">
        <v>1850</v>
      </c>
      <c r="I82" s="1405">
        <v>1850</v>
      </c>
      <c r="J82" s="1405">
        <f t="shared" si="11"/>
        <v>1850</v>
      </c>
      <c r="K82" s="1405">
        <f t="shared" si="11"/>
        <v>1850</v>
      </c>
      <c r="L82" s="1405">
        <f t="shared" si="11"/>
        <v>1850</v>
      </c>
      <c r="M82" s="1405">
        <f t="shared" si="12"/>
        <v>2035.0000000000002</v>
      </c>
      <c r="N82" s="1403">
        <f t="shared" si="13"/>
        <v>2035.0000000000002</v>
      </c>
      <c r="O82" s="1403">
        <f t="shared" si="13"/>
        <v>2035.0000000000002</v>
      </c>
      <c r="P82" s="1403">
        <f t="shared" si="13"/>
        <v>2035.0000000000002</v>
      </c>
      <c r="Q82" s="1403">
        <v>2035.0000000000002</v>
      </c>
      <c r="R82" s="25"/>
    </row>
    <row r="83" spans="1:18" ht="15" customHeight="1">
      <c r="A83" s="580">
        <v>10</v>
      </c>
      <c r="B83" s="581" t="s">
        <v>541</v>
      </c>
      <c r="C83" s="466"/>
      <c r="D83" s="1412"/>
      <c r="E83" s="1413"/>
      <c r="F83" s="1413"/>
      <c r="G83" s="1413"/>
      <c r="H83" s="1413"/>
      <c r="I83" s="1413"/>
      <c r="J83" s="1413"/>
      <c r="K83" s="1413"/>
      <c r="L83" s="1413"/>
      <c r="M83" s="1413"/>
      <c r="N83" s="1412"/>
      <c r="O83" s="1412"/>
      <c r="P83" s="1412"/>
      <c r="Q83" s="1412"/>
      <c r="R83" s="328"/>
    </row>
    <row r="84" spans="1:18" ht="17.25">
      <c r="A84" s="608">
        <f>A83+0.01</f>
        <v>10.01</v>
      </c>
      <c r="B84" s="116" t="s">
        <v>542</v>
      </c>
      <c r="C84" s="37" t="s">
        <v>519</v>
      </c>
      <c r="D84" s="1403"/>
      <c r="E84" s="1404"/>
      <c r="F84" s="1404"/>
      <c r="G84" s="1404"/>
      <c r="H84" s="1404">
        <v>130</v>
      </c>
      <c r="I84" s="1405">
        <v>130</v>
      </c>
      <c r="J84" s="1405">
        <f t="shared" si="11"/>
        <v>130</v>
      </c>
      <c r="K84" s="1405">
        <f t="shared" si="11"/>
        <v>130</v>
      </c>
      <c r="L84" s="1405">
        <f t="shared" si="11"/>
        <v>130</v>
      </c>
      <c r="M84" s="1405">
        <f t="shared" si="12"/>
        <v>143</v>
      </c>
      <c r="N84" s="1403">
        <f t="shared" si="13"/>
        <v>143</v>
      </c>
      <c r="O84" s="1403">
        <f t="shared" si="13"/>
        <v>143</v>
      </c>
      <c r="P84" s="1403">
        <f t="shared" si="13"/>
        <v>143</v>
      </c>
      <c r="Q84" s="1403">
        <v>143</v>
      </c>
      <c r="R84" s="25"/>
    </row>
    <row r="85" spans="1:18" ht="17.25">
      <c r="A85" s="608">
        <f t="shared" ref="A85:A89" si="15">A84+0.01</f>
        <v>10.02</v>
      </c>
      <c r="B85" s="24" t="s">
        <v>526</v>
      </c>
      <c r="C85" s="37" t="s">
        <v>519</v>
      </c>
      <c r="D85" s="1403"/>
      <c r="E85" s="1404"/>
      <c r="F85" s="1404"/>
      <c r="G85" s="1404"/>
      <c r="H85" s="1404">
        <v>150</v>
      </c>
      <c r="I85" s="1405">
        <v>150</v>
      </c>
      <c r="J85" s="1405">
        <f t="shared" si="11"/>
        <v>150</v>
      </c>
      <c r="K85" s="1405">
        <f t="shared" si="11"/>
        <v>150</v>
      </c>
      <c r="L85" s="1405">
        <f t="shared" si="11"/>
        <v>150</v>
      </c>
      <c r="M85" s="1405">
        <f t="shared" si="12"/>
        <v>165</v>
      </c>
      <c r="N85" s="1403">
        <f t="shared" si="13"/>
        <v>165</v>
      </c>
      <c r="O85" s="1403">
        <f t="shared" si="13"/>
        <v>165</v>
      </c>
      <c r="P85" s="1403">
        <f t="shared" si="13"/>
        <v>165</v>
      </c>
      <c r="Q85" s="1403">
        <v>165</v>
      </c>
      <c r="R85" s="25"/>
    </row>
    <row r="86" spans="1:18" ht="17.25">
      <c r="A86" s="608">
        <f t="shared" si="15"/>
        <v>10.029999999999999</v>
      </c>
      <c r="B86" s="24" t="s">
        <v>527</v>
      </c>
      <c r="C86" s="37" t="s">
        <v>519</v>
      </c>
      <c r="D86" s="1403"/>
      <c r="E86" s="1404"/>
      <c r="F86" s="1404"/>
      <c r="G86" s="1404"/>
      <c r="H86" s="1404">
        <v>190</v>
      </c>
      <c r="I86" s="1405">
        <v>190</v>
      </c>
      <c r="J86" s="1405">
        <f t="shared" si="11"/>
        <v>190</v>
      </c>
      <c r="K86" s="1405">
        <f t="shared" si="11"/>
        <v>190</v>
      </c>
      <c r="L86" s="1405">
        <f t="shared" si="11"/>
        <v>190</v>
      </c>
      <c r="M86" s="1405">
        <f t="shared" si="12"/>
        <v>209.00000000000003</v>
      </c>
      <c r="N86" s="1403">
        <f t="shared" si="13"/>
        <v>209.00000000000003</v>
      </c>
      <c r="O86" s="1403">
        <f t="shared" si="13"/>
        <v>209.00000000000003</v>
      </c>
      <c r="P86" s="1403">
        <f t="shared" si="13"/>
        <v>209.00000000000003</v>
      </c>
      <c r="Q86" s="1403">
        <v>209.00000000000003</v>
      </c>
      <c r="R86" s="25"/>
    </row>
    <row r="87" spans="1:18" ht="17.25">
      <c r="A87" s="608">
        <f t="shared" si="15"/>
        <v>10.039999999999999</v>
      </c>
      <c r="B87" s="24" t="s">
        <v>528</v>
      </c>
      <c r="C87" s="37" t="s">
        <v>519</v>
      </c>
      <c r="D87" s="1403"/>
      <c r="E87" s="1404"/>
      <c r="F87" s="1404"/>
      <c r="G87" s="1404"/>
      <c r="H87" s="1404">
        <v>290</v>
      </c>
      <c r="I87" s="1405">
        <v>290</v>
      </c>
      <c r="J87" s="1405">
        <f t="shared" si="11"/>
        <v>290</v>
      </c>
      <c r="K87" s="1405">
        <f t="shared" si="11"/>
        <v>290</v>
      </c>
      <c r="L87" s="1405">
        <f t="shared" si="11"/>
        <v>290</v>
      </c>
      <c r="M87" s="1405">
        <f t="shared" si="12"/>
        <v>319</v>
      </c>
      <c r="N87" s="1403">
        <f t="shared" si="13"/>
        <v>319</v>
      </c>
      <c r="O87" s="1403">
        <f t="shared" si="13"/>
        <v>319</v>
      </c>
      <c r="P87" s="1403">
        <f t="shared" si="13"/>
        <v>319</v>
      </c>
      <c r="Q87" s="1403">
        <v>319</v>
      </c>
      <c r="R87" s="25"/>
    </row>
    <row r="88" spans="1:18" ht="17.25">
      <c r="A88" s="608">
        <f t="shared" si="15"/>
        <v>10.049999999999999</v>
      </c>
      <c r="B88" s="24" t="s">
        <v>529</v>
      </c>
      <c r="C88" s="37" t="s">
        <v>519</v>
      </c>
      <c r="D88" s="1403"/>
      <c r="E88" s="1404"/>
      <c r="F88" s="1404"/>
      <c r="G88" s="1404"/>
      <c r="H88" s="1404">
        <v>400</v>
      </c>
      <c r="I88" s="1405">
        <v>400</v>
      </c>
      <c r="J88" s="1405">
        <f t="shared" si="11"/>
        <v>400</v>
      </c>
      <c r="K88" s="1405">
        <f t="shared" si="11"/>
        <v>400</v>
      </c>
      <c r="L88" s="1405">
        <f t="shared" si="11"/>
        <v>400</v>
      </c>
      <c r="M88" s="1405">
        <f t="shared" si="12"/>
        <v>440.00000000000006</v>
      </c>
      <c r="N88" s="1403">
        <f t="shared" si="13"/>
        <v>440.00000000000006</v>
      </c>
      <c r="O88" s="1403">
        <f t="shared" si="13"/>
        <v>440.00000000000006</v>
      </c>
      <c r="P88" s="1403">
        <f t="shared" si="13"/>
        <v>440.00000000000006</v>
      </c>
      <c r="Q88" s="1403">
        <v>440.00000000000006</v>
      </c>
      <c r="R88" s="25"/>
    </row>
    <row r="89" spans="1:18" ht="17.25">
      <c r="A89" s="608">
        <f t="shared" si="15"/>
        <v>10.059999999999999</v>
      </c>
      <c r="B89" s="24" t="s">
        <v>530</v>
      </c>
      <c r="C89" s="37" t="s">
        <v>519</v>
      </c>
      <c r="D89" s="1403"/>
      <c r="E89" s="1404"/>
      <c r="F89" s="1404"/>
      <c r="G89" s="1404"/>
      <c r="H89" s="1404">
        <v>590</v>
      </c>
      <c r="I89" s="1405">
        <v>590</v>
      </c>
      <c r="J89" s="1405">
        <f t="shared" si="11"/>
        <v>590</v>
      </c>
      <c r="K89" s="1405">
        <f t="shared" si="11"/>
        <v>590</v>
      </c>
      <c r="L89" s="1405">
        <f t="shared" si="11"/>
        <v>590</v>
      </c>
      <c r="M89" s="1405">
        <f t="shared" si="12"/>
        <v>649</v>
      </c>
      <c r="N89" s="1403">
        <f t="shared" si="13"/>
        <v>649</v>
      </c>
      <c r="O89" s="1403">
        <f t="shared" si="13"/>
        <v>649</v>
      </c>
      <c r="P89" s="1403">
        <f t="shared" si="13"/>
        <v>649</v>
      </c>
      <c r="Q89" s="1403">
        <v>649</v>
      </c>
      <c r="R89" s="25"/>
    </row>
    <row r="90" spans="1:18" ht="15" customHeight="1">
      <c r="A90" s="580">
        <v>11</v>
      </c>
      <c r="B90" s="581" t="s">
        <v>543</v>
      </c>
      <c r="C90" s="466"/>
      <c r="D90" s="1414"/>
      <c r="E90" s="1413"/>
      <c r="F90" s="1413"/>
      <c r="G90" s="1413"/>
      <c r="H90" s="1413"/>
      <c r="I90" s="1413"/>
      <c r="J90" s="1413"/>
      <c r="K90" s="1413"/>
      <c r="L90" s="1413"/>
      <c r="M90" s="1413"/>
      <c r="N90" s="1412"/>
      <c r="O90" s="1412"/>
      <c r="P90" s="1412"/>
      <c r="Q90" s="1412"/>
      <c r="R90" s="328"/>
    </row>
    <row r="91" spans="1:18" ht="17.25">
      <c r="A91" s="608">
        <f>A90+0.01</f>
        <v>11.01</v>
      </c>
      <c r="B91" s="24" t="s">
        <v>525</v>
      </c>
      <c r="C91" s="37" t="s">
        <v>519</v>
      </c>
      <c r="D91" s="75"/>
      <c r="E91" s="1404"/>
      <c r="F91" s="1404"/>
      <c r="G91" s="1404"/>
      <c r="H91" s="1404">
        <v>22</v>
      </c>
      <c r="I91" s="1405">
        <v>22</v>
      </c>
      <c r="J91" s="1405">
        <f t="shared" si="11"/>
        <v>22</v>
      </c>
      <c r="K91" s="1405">
        <f t="shared" si="11"/>
        <v>22</v>
      </c>
      <c r="L91" s="1405">
        <f t="shared" si="11"/>
        <v>22</v>
      </c>
      <c r="M91" s="1405">
        <f t="shared" si="12"/>
        <v>24.200000000000003</v>
      </c>
      <c r="N91" s="1403">
        <f t="shared" si="13"/>
        <v>24.200000000000003</v>
      </c>
      <c r="O91" s="1403">
        <f t="shared" si="13"/>
        <v>24.200000000000003</v>
      </c>
      <c r="P91" s="1403">
        <f t="shared" si="13"/>
        <v>24.200000000000003</v>
      </c>
      <c r="Q91" s="1403">
        <v>24.200000000000003</v>
      </c>
      <c r="R91" s="25"/>
    </row>
    <row r="92" spans="1:18" ht="17.25">
      <c r="A92" s="608">
        <f t="shared" ref="A92:A95" si="16">A91+0.01</f>
        <v>11.02</v>
      </c>
      <c r="B92" s="24" t="s">
        <v>526</v>
      </c>
      <c r="C92" s="37" t="s">
        <v>519</v>
      </c>
      <c r="D92" s="75"/>
      <c r="E92" s="1404"/>
      <c r="F92" s="1404"/>
      <c r="G92" s="1404"/>
      <c r="H92" s="1404">
        <v>34</v>
      </c>
      <c r="I92" s="1405">
        <v>34</v>
      </c>
      <c r="J92" s="1405">
        <f t="shared" si="11"/>
        <v>34</v>
      </c>
      <c r="K92" s="1405">
        <f t="shared" si="11"/>
        <v>34</v>
      </c>
      <c r="L92" s="1405">
        <f t="shared" si="11"/>
        <v>34</v>
      </c>
      <c r="M92" s="1405">
        <f t="shared" si="12"/>
        <v>37.400000000000006</v>
      </c>
      <c r="N92" s="1403">
        <f t="shared" si="13"/>
        <v>37.400000000000006</v>
      </c>
      <c r="O92" s="1403">
        <f t="shared" si="13"/>
        <v>37.400000000000006</v>
      </c>
      <c r="P92" s="1403">
        <f t="shared" si="13"/>
        <v>37.400000000000006</v>
      </c>
      <c r="Q92" s="1403">
        <v>37.400000000000006</v>
      </c>
      <c r="R92" s="25"/>
    </row>
    <row r="93" spans="1:18" ht="17.25">
      <c r="A93" s="608">
        <f t="shared" si="16"/>
        <v>11.03</v>
      </c>
      <c r="B93" s="24" t="s">
        <v>527</v>
      </c>
      <c r="C93" s="37" t="s">
        <v>519</v>
      </c>
      <c r="D93" s="75"/>
      <c r="E93" s="1404"/>
      <c r="F93" s="1404"/>
      <c r="G93" s="1404"/>
      <c r="H93" s="1404">
        <v>44</v>
      </c>
      <c r="I93" s="1405">
        <v>44</v>
      </c>
      <c r="J93" s="1405">
        <f t="shared" si="11"/>
        <v>44</v>
      </c>
      <c r="K93" s="1405">
        <f t="shared" si="11"/>
        <v>44</v>
      </c>
      <c r="L93" s="1405">
        <f t="shared" si="11"/>
        <v>44</v>
      </c>
      <c r="M93" s="1405">
        <f t="shared" si="12"/>
        <v>48.400000000000006</v>
      </c>
      <c r="N93" s="1403">
        <f t="shared" si="13"/>
        <v>48.400000000000006</v>
      </c>
      <c r="O93" s="1403">
        <f t="shared" si="13"/>
        <v>48.400000000000006</v>
      </c>
      <c r="P93" s="1403">
        <f t="shared" si="13"/>
        <v>48.400000000000006</v>
      </c>
      <c r="Q93" s="1403">
        <v>48.400000000000006</v>
      </c>
      <c r="R93" s="25"/>
    </row>
    <row r="94" spans="1:18" ht="17.25">
      <c r="A94" s="608">
        <f t="shared" si="16"/>
        <v>11.04</v>
      </c>
      <c r="B94" s="24" t="s">
        <v>528</v>
      </c>
      <c r="C94" s="37" t="s">
        <v>519</v>
      </c>
      <c r="D94" s="1415"/>
      <c r="E94" s="1411"/>
      <c r="F94" s="1411"/>
      <c r="G94" s="1411"/>
      <c r="H94" s="1404">
        <v>56.5</v>
      </c>
      <c r="I94" s="1405">
        <v>56.5</v>
      </c>
      <c r="J94" s="1405">
        <f t="shared" si="11"/>
        <v>56.5</v>
      </c>
      <c r="K94" s="1405">
        <f t="shared" si="11"/>
        <v>56.5</v>
      </c>
      <c r="L94" s="1405">
        <f t="shared" si="11"/>
        <v>56.5</v>
      </c>
      <c r="M94" s="1405">
        <f t="shared" si="12"/>
        <v>62.150000000000006</v>
      </c>
      <c r="N94" s="1403">
        <f t="shared" si="13"/>
        <v>62.150000000000006</v>
      </c>
      <c r="O94" s="1403">
        <f t="shared" si="13"/>
        <v>62.150000000000006</v>
      </c>
      <c r="P94" s="1403">
        <f t="shared" si="13"/>
        <v>62.150000000000006</v>
      </c>
      <c r="Q94" s="1403">
        <v>62.150000000000006</v>
      </c>
      <c r="R94" s="25"/>
    </row>
    <row r="95" spans="1:18" ht="17.25">
      <c r="A95" s="608">
        <f t="shared" si="16"/>
        <v>11.049999999999999</v>
      </c>
      <c r="B95" s="24" t="s">
        <v>529</v>
      </c>
      <c r="C95" s="37" t="s">
        <v>519</v>
      </c>
      <c r="D95" s="75"/>
      <c r="E95" s="1404"/>
      <c r="F95" s="1404"/>
      <c r="G95" s="1404"/>
      <c r="H95" s="1404">
        <v>70.5</v>
      </c>
      <c r="I95" s="1405">
        <v>70.5</v>
      </c>
      <c r="J95" s="1405">
        <f t="shared" si="11"/>
        <v>70.5</v>
      </c>
      <c r="K95" s="1405">
        <f t="shared" si="11"/>
        <v>70.5</v>
      </c>
      <c r="L95" s="1405">
        <f t="shared" si="11"/>
        <v>70.5</v>
      </c>
      <c r="M95" s="1405">
        <f t="shared" si="12"/>
        <v>77.550000000000011</v>
      </c>
      <c r="N95" s="1403">
        <f t="shared" si="13"/>
        <v>77.550000000000011</v>
      </c>
      <c r="O95" s="1403">
        <f t="shared" si="13"/>
        <v>77.550000000000011</v>
      </c>
      <c r="P95" s="1403">
        <f t="shared" si="13"/>
        <v>77.550000000000011</v>
      </c>
      <c r="Q95" s="1403">
        <v>77.550000000000011</v>
      </c>
      <c r="R95" s="25"/>
    </row>
    <row r="96" spans="1:18" ht="15" customHeight="1">
      <c r="A96" s="580">
        <v>12</v>
      </c>
      <c r="B96" s="581" t="s">
        <v>544</v>
      </c>
      <c r="C96" s="445"/>
      <c r="D96" s="1416"/>
      <c r="E96" s="1408"/>
      <c r="F96" s="1408"/>
      <c r="G96" s="1408"/>
      <c r="H96" s="1408"/>
      <c r="I96" s="1408"/>
      <c r="J96" s="1408"/>
      <c r="K96" s="1408"/>
      <c r="L96" s="1408"/>
      <c r="M96" s="1408"/>
      <c r="N96" s="1407"/>
      <c r="O96" s="1407"/>
      <c r="P96" s="1407"/>
      <c r="Q96" s="1407"/>
      <c r="R96" s="330"/>
    </row>
    <row r="97" spans="1:18" ht="17.25">
      <c r="A97" s="608">
        <f>A96+0.01</f>
        <v>12.01</v>
      </c>
      <c r="B97" s="24" t="s">
        <v>525</v>
      </c>
      <c r="C97" s="37" t="s">
        <v>519</v>
      </c>
      <c r="D97" s="75"/>
      <c r="E97" s="1404"/>
      <c r="F97" s="1404"/>
      <c r="G97" s="1404"/>
      <c r="H97" s="1404">
        <v>34</v>
      </c>
      <c r="I97" s="1405">
        <v>34</v>
      </c>
      <c r="J97" s="1405">
        <f t="shared" si="11"/>
        <v>34</v>
      </c>
      <c r="K97" s="1405">
        <f t="shared" si="11"/>
        <v>34</v>
      </c>
      <c r="L97" s="1405">
        <f t="shared" si="11"/>
        <v>34</v>
      </c>
      <c r="M97" s="1405">
        <f t="shared" si="12"/>
        <v>37.400000000000006</v>
      </c>
      <c r="N97" s="1403">
        <f t="shared" si="13"/>
        <v>37.400000000000006</v>
      </c>
      <c r="O97" s="1403">
        <f t="shared" si="13"/>
        <v>37.400000000000006</v>
      </c>
      <c r="P97" s="1403">
        <f t="shared" si="13"/>
        <v>37.400000000000006</v>
      </c>
      <c r="Q97" s="1403">
        <v>37.400000000000006</v>
      </c>
      <c r="R97" s="25"/>
    </row>
    <row r="98" spans="1:18" ht="17.25">
      <c r="A98" s="608">
        <f t="shared" ref="A98:A104" si="17">A97+0.01</f>
        <v>12.02</v>
      </c>
      <c r="B98" s="24" t="s">
        <v>526</v>
      </c>
      <c r="C98" s="37" t="s">
        <v>519</v>
      </c>
      <c r="D98" s="75"/>
      <c r="E98" s="1404"/>
      <c r="F98" s="1404"/>
      <c r="G98" s="1404"/>
      <c r="H98" s="1404">
        <v>47.25</v>
      </c>
      <c r="I98" s="1405">
        <v>47.25</v>
      </c>
      <c r="J98" s="1405">
        <f t="shared" si="11"/>
        <v>47.25</v>
      </c>
      <c r="K98" s="1405">
        <f t="shared" si="11"/>
        <v>47.25</v>
      </c>
      <c r="L98" s="1405">
        <f t="shared" si="11"/>
        <v>47.25</v>
      </c>
      <c r="M98" s="1405">
        <f t="shared" si="12"/>
        <v>51.975000000000001</v>
      </c>
      <c r="N98" s="1403">
        <f t="shared" si="13"/>
        <v>51.975000000000001</v>
      </c>
      <c r="O98" s="1403">
        <f t="shared" si="13"/>
        <v>51.975000000000001</v>
      </c>
      <c r="P98" s="1403">
        <f t="shared" si="13"/>
        <v>51.975000000000001</v>
      </c>
      <c r="Q98" s="1403">
        <v>51.975000000000001</v>
      </c>
      <c r="R98" s="25"/>
    </row>
    <row r="99" spans="1:18" ht="17.25">
      <c r="A99" s="608">
        <f t="shared" si="17"/>
        <v>12.03</v>
      </c>
      <c r="B99" s="24" t="s">
        <v>527</v>
      </c>
      <c r="C99" s="37" t="s">
        <v>519</v>
      </c>
      <c r="D99" s="75"/>
      <c r="E99" s="1404"/>
      <c r="F99" s="1404"/>
      <c r="G99" s="1404"/>
      <c r="H99" s="1404">
        <v>66.2</v>
      </c>
      <c r="I99" s="1405">
        <v>66.2</v>
      </c>
      <c r="J99" s="1405">
        <f t="shared" si="11"/>
        <v>66.2</v>
      </c>
      <c r="K99" s="1405">
        <f t="shared" si="11"/>
        <v>66.2</v>
      </c>
      <c r="L99" s="1405">
        <f t="shared" si="11"/>
        <v>66.2</v>
      </c>
      <c r="M99" s="1405">
        <f t="shared" si="12"/>
        <v>72.820000000000007</v>
      </c>
      <c r="N99" s="1403">
        <f t="shared" si="13"/>
        <v>72.820000000000007</v>
      </c>
      <c r="O99" s="1403">
        <f t="shared" si="13"/>
        <v>72.820000000000007</v>
      </c>
      <c r="P99" s="1403">
        <f t="shared" si="13"/>
        <v>72.820000000000007</v>
      </c>
      <c r="Q99" s="1403">
        <v>72.820000000000007</v>
      </c>
      <c r="R99" s="25"/>
    </row>
    <row r="100" spans="1:18" ht="17.25">
      <c r="A100" s="608">
        <f t="shared" si="17"/>
        <v>12.04</v>
      </c>
      <c r="B100" s="24" t="s">
        <v>528</v>
      </c>
      <c r="C100" s="37" t="s">
        <v>519</v>
      </c>
      <c r="D100" s="75"/>
      <c r="E100" s="1404"/>
      <c r="F100" s="1404"/>
      <c r="G100" s="1404"/>
      <c r="H100" s="1404">
        <v>85</v>
      </c>
      <c r="I100" s="1405">
        <v>85</v>
      </c>
      <c r="J100" s="1405">
        <f t="shared" si="11"/>
        <v>85</v>
      </c>
      <c r="K100" s="1405">
        <f t="shared" si="11"/>
        <v>85</v>
      </c>
      <c r="L100" s="1405">
        <f t="shared" si="11"/>
        <v>85</v>
      </c>
      <c r="M100" s="1405">
        <f t="shared" si="12"/>
        <v>93.500000000000014</v>
      </c>
      <c r="N100" s="1403">
        <f t="shared" si="13"/>
        <v>93.500000000000014</v>
      </c>
      <c r="O100" s="1403">
        <f t="shared" si="13"/>
        <v>93.500000000000014</v>
      </c>
      <c r="P100" s="1403">
        <f t="shared" si="13"/>
        <v>93.500000000000014</v>
      </c>
      <c r="Q100" s="1403">
        <v>93.500000000000014</v>
      </c>
      <c r="R100" s="25"/>
    </row>
    <row r="101" spans="1:18" ht="17.25">
      <c r="A101" s="608">
        <f t="shared" si="17"/>
        <v>12.049999999999999</v>
      </c>
      <c r="B101" s="24" t="s">
        <v>529</v>
      </c>
      <c r="C101" s="37" t="s">
        <v>519</v>
      </c>
      <c r="D101" s="1415"/>
      <c r="E101" s="1411"/>
      <c r="F101" s="1411"/>
      <c r="G101" s="1411"/>
      <c r="H101" s="1404">
        <v>106</v>
      </c>
      <c r="I101" s="1405">
        <v>106</v>
      </c>
      <c r="J101" s="1405">
        <f t="shared" si="11"/>
        <v>106</v>
      </c>
      <c r="K101" s="1405">
        <f t="shared" si="11"/>
        <v>106</v>
      </c>
      <c r="L101" s="1405">
        <f t="shared" si="11"/>
        <v>106</v>
      </c>
      <c r="M101" s="1405">
        <f t="shared" si="12"/>
        <v>116.60000000000001</v>
      </c>
      <c r="N101" s="1403">
        <f t="shared" si="13"/>
        <v>116.60000000000001</v>
      </c>
      <c r="O101" s="1403">
        <f t="shared" si="13"/>
        <v>116.60000000000001</v>
      </c>
      <c r="P101" s="1403">
        <f t="shared" si="13"/>
        <v>116.60000000000001</v>
      </c>
      <c r="Q101" s="1403">
        <v>116.60000000000001</v>
      </c>
      <c r="R101" s="25"/>
    </row>
    <row r="102" spans="1:18" ht="17.25">
      <c r="A102" s="608">
        <f t="shared" si="17"/>
        <v>12.059999999999999</v>
      </c>
      <c r="B102" s="24" t="s">
        <v>530</v>
      </c>
      <c r="C102" s="37" t="s">
        <v>519</v>
      </c>
      <c r="D102" s="75"/>
      <c r="E102" s="1404"/>
      <c r="F102" s="1404"/>
      <c r="G102" s="1404"/>
      <c r="H102" s="1404">
        <v>134</v>
      </c>
      <c r="I102" s="1405">
        <v>134</v>
      </c>
      <c r="J102" s="1405">
        <f t="shared" si="11"/>
        <v>134</v>
      </c>
      <c r="K102" s="1405">
        <f t="shared" si="11"/>
        <v>134</v>
      </c>
      <c r="L102" s="1405">
        <f t="shared" si="11"/>
        <v>134</v>
      </c>
      <c r="M102" s="1405">
        <f t="shared" si="12"/>
        <v>147.4</v>
      </c>
      <c r="N102" s="1403">
        <f t="shared" si="13"/>
        <v>147.4</v>
      </c>
      <c r="O102" s="1403">
        <f t="shared" si="13"/>
        <v>147.4</v>
      </c>
      <c r="P102" s="1403">
        <f t="shared" si="13"/>
        <v>147.4</v>
      </c>
      <c r="Q102" s="1403">
        <v>147.4</v>
      </c>
      <c r="R102" s="25"/>
    </row>
    <row r="103" spans="1:18" ht="17.25">
      <c r="A103" s="608">
        <f t="shared" si="17"/>
        <v>12.069999999999999</v>
      </c>
      <c r="B103" s="24" t="s">
        <v>531</v>
      </c>
      <c r="C103" s="37" t="s">
        <v>519</v>
      </c>
      <c r="D103" s="75"/>
      <c r="E103" s="1404"/>
      <c r="F103" s="1404"/>
      <c r="G103" s="1404"/>
      <c r="H103" s="1404">
        <v>186</v>
      </c>
      <c r="I103" s="1405">
        <v>186</v>
      </c>
      <c r="J103" s="1405">
        <f t="shared" si="11"/>
        <v>186</v>
      </c>
      <c r="K103" s="1405">
        <f t="shared" si="11"/>
        <v>186</v>
      </c>
      <c r="L103" s="1405">
        <f t="shared" si="11"/>
        <v>186</v>
      </c>
      <c r="M103" s="1405">
        <f t="shared" si="12"/>
        <v>204.60000000000002</v>
      </c>
      <c r="N103" s="1403">
        <f t="shared" si="13"/>
        <v>204.60000000000002</v>
      </c>
      <c r="O103" s="1403">
        <f t="shared" si="13"/>
        <v>204.60000000000002</v>
      </c>
      <c r="P103" s="1403">
        <f t="shared" si="13"/>
        <v>204.60000000000002</v>
      </c>
      <c r="Q103" s="1403">
        <v>204.60000000000002</v>
      </c>
      <c r="R103" s="25"/>
    </row>
    <row r="104" spans="1:18" ht="17.25">
      <c r="A104" s="608">
        <f t="shared" si="17"/>
        <v>12.079999999999998</v>
      </c>
      <c r="B104" s="24" t="s">
        <v>532</v>
      </c>
      <c r="C104" s="37" t="s">
        <v>519</v>
      </c>
      <c r="D104" s="75"/>
      <c r="E104" s="1404"/>
      <c r="F104" s="1404"/>
      <c r="G104" s="1404"/>
      <c r="H104" s="1404">
        <v>220</v>
      </c>
      <c r="I104" s="1405">
        <v>220</v>
      </c>
      <c r="J104" s="1405">
        <f t="shared" si="11"/>
        <v>220</v>
      </c>
      <c r="K104" s="1405">
        <f t="shared" si="11"/>
        <v>220</v>
      </c>
      <c r="L104" s="1405">
        <f t="shared" si="11"/>
        <v>220</v>
      </c>
      <c r="M104" s="1405">
        <f t="shared" si="12"/>
        <v>242.00000000000003</v>
      </c>
      <c r="N104" s="1403">
        <f t="shared" si="13"/>
        <v>242.00000000000003</v>
      </c>
      <c r="O104" s="1403">
        <f t="shared" si="13"/>
        <v>242.00000000000003</v>
      </c>
      <c r="P104" s="1403">
        <f t="shared" si="13"/>
        <v>242.00000000000003</v>
      </c>
      <c r="Q104" s="1403">
        <v>242.00000000000003</v>
      </c>
      <c r="R104" s="25"/>
    </row>
    <row r="105" spans="1:18" ht="15" customHeight="1">
      <c r="A105" s="580">
        <v>13</v>
      </c>
      <c r="B105" s="581" t="s">
        <v>545</v>
      </c>
      <c r="C105" s="445"/>
      <c r="D105" s="1416"/>
      <c r="E105" s="1408"/>
      <c r="F105" s="1408"/>
      <c r="G105" s="1408"/>
      <c r="H105" s="1408"/>
      <c r="I105" s="1408"/>
      <c r="J105" s="1408"/>
      <c r="K105" s="1408"/>
      <c r="L105" s="1408"/>
      <c r="M105" s="1408"/>
      <c r="N105" s="1407"/>
      <c r="O105" s="1407"/>
      <c r="P105" s="1407"/>
      <c r="Q105" s="1407"/>
      <c r="R105" s="330"/>
    </row>
    <row r="106" spans="1:18" ht="17.25">
      <c r="A106" s="608">
        <f>A105+0.01</f>
        <v>13.01</v>
      </c>
      <c r="B106" s="24" t="s">
        <v>525</v>
      </c>
      <c r="C106" s="37" t="s">
        <v>519</v>
      </c>
      <c r="D106" s="75"/>
      <c r="E106" s="1404"/>
      <c r="F106" s="1404"/>
      <c r="G106" s="1404"/>
      <c r="H106" s="1404">
        <v>45</v>
      </c>
      <c r="I106" s="1405">
        <v>45</v>
      </c>
      <c r="J106" s="1405">
        <f t="shared" si="11"/>
        <v>45</v>
      </c>
      <c r="K106" s="1405">
        <f t="shared" si="11"/>
        <v>45</v>
      </c>
      <c r="L106" s="1405">
        <f t="shared" si="11"/>
        <v>45</v>
      </c>
      <c r="M106" s="1405">
        <f t="shared" si="12"/>
        <v>49.500000000000007</v>
      </c>
      <c r="N106" s="1403">
        <f t="shared" si="13"/>
        <v>49.500000000000007</v>
      </c>
      <c r="O106" s="1403">
        <f t="shared" si="13"/>
        <v>49.500000000000007</v>
      </c>
      <c r="P106" s="1403">
        <f t="shared" si="13"/>
        <v>49.500000000000007</v>
      </c>
      <c r="Q106" s="1403">
        <v>49.500000000000007</v>
      </c>
      <c r="R106" s="25"/>
    </row>
    <row r="107" spans="1:18" ht="17.25">
      <c r="A107" s="608">
        <f t="shared" ref="A107:A116" si="18">A106+0.01</f>
        <v>13.02</v>
      </c>
      <c r="B107" s="24" t="s">
        <v>526</v>
      </c>
      <c r="C107" s="37" t="s">
        <v>519</v>
      </c>
      <c r="D107" s="1415"/>
      <c r="E107" s="1411"/>
      <c r="F107" s="1411"/>
      <c r="G107" s="1411"/>
      <c r="H107" s="1404">
        <v>63</v>
      </c>
      <c r="I107" s="1405">
        <v>63</v>
      </c>
      <c r="J107" s="1405">
        <f t="shared" si="11"/>
        <v>63</v>
      </c>
      <c r="K107" s="1405">
        <f t="shared" si="11"/>
        <v>63</v>
      </c>
      <c r="L107" s="1405">
        <f t="shared" si="11"/>
        <v>63</v>
      </c>
      <c r="M107" s="1405">
        <f t="shared" si="12"/>
        <v>69.300000000000011</v>
      </c>
      <c r="N107" s="1403">
        <f t="shared" si="13"/>
        <v>69.300000000000011</v>
      </c>
      <c r="O107" s="1403">
        <f t="shared" si="13"/>
        <v>69.300000000000011</v>
      </c>
      <c r="P107" s="1403">
        <f t="shared" si="13"/>
        <v>69.300000000000011</v>
      </c>
      <c r="Q107" s="1403">
        <v>69.300000000000011</v>
      </c>
      <c r="R107" s="25"/>
    </row>
    <row r="108" spans="1:18" ht="17.25">
      <c r="A108" s="608">
        <f t="shared" si="18"/>
        <v>13.03</v>
      </c>
      <c r="B108" s="24" t="s">
        <v>527</v>
      </c>
      <c r="C108" s="37" t="s">
        <v>519</v>
      </c>
      <c r="D108" s="75"/>
      <c r="E108" s="1404"/>
      <c r="F108" s="1404"/>
      <c r="G108" s="1404"/>
      <c r="H108" s="1404">
        <v>88.3</v>
      </c>
      <c r="I108" s="1405">
        <v>88.3</v>
      </c>
      <c r="J108" s="1405">
        <f t="shared" si="11"/>
        <v>88.3</v>
      </c>
      <c r="K108" s="1405">
        <f t="shared" si="11"/>
        <v>88.3</v>
      </c>
      <c r="L108" s="1405">
        <f t="shared" si="11"/>
        <v>88.3</v>
      </c>
      <c r="M108" s="1405">
        <f t="shared" si="12"/>
        <v>97.13000000000001</v>
      </c>
      <c r="N108" s="1403">
        <f t="shared" si="13"/>
        <v>97.13000000000001</v>
      </c>
      <c r="O108" s="1403">
        <f t="shared" si="13"/>
        <v>97.13000000000001</v>
      </c>
      <c r="P108" s="1403">
        <f t="shared" si="13"/>
        <v>97.13000000000001</v>
      </c>
      <c r="Q108" s="1403">
        <v>97.13000000000001</v>
      </c>
      <c r="R108" s="25"/>
    </row>
    <row r="109" spans="1:18" ht="17.25">
      <c r="A109" s="608">
        <f t="shared" si="18"/>
        <v>13.04</v>
      </c>
      <c r="B109" s="24" t="s">
        <v>528</v>
      </c>
      <c r="C109" s="37" t="s">
        <v>519</v>
      </c>
      <c r="D109" s="75"/>
      <c r="E109" s="1404"/>
      <c r="F109" s="1404"/>
      <c r="G109" s="1404"/>
      <c r="H109" s="1404">
        <v>113</v>
      </c>
      <c r="I109" s="1405">
        <v>113</v>
      </c>
      <c r="J109" s="1405">
        <f t="shared" si="11"/>
        <v>113</v>
      </c>
      <c r="K109" s="1405">
        <f t="shared" si="11"/>
        <v>113</v>
      </c>
      <c r="L109" s="1405">
        <f t="shared" si="11"/>
        <v>113</v>
      </c>
      <c r="M109" s="1405">
        <f t="shared" si="12"/>
        <v>124.30000000000001</v>
      </c>
      <c r="N109" s="1403">
        <f t="shared" si="13"/>
        <v>124.30000000000001</v>
      </c>
      <c r="O109" s="1403">
        <f t="shared" si="13"/>
        <v>124.30000000000001</v>
      </c>
      <c r="P109" s="1403">
        <f t="shared" si="13"/>
        <v>124.30000000000001</v>
      </c>
      <c r="Q109" s="1403">
        <v>124.30000000000001</v>
      </c>
      <c r="R109" s="25"/>
    </row>
    <row r="110" spans="1:18" ht="17.25">
      <c r="A110" s="608">
        <f t="shared" si="18"/>
        <v>13.049999999999999</v>
      </c>
      <c r="B110" s="24" t="s">
        <v>529</v>
      </c>
      <c r="C110" s="37" t="s">
        <v>519</v>
      </c>
      <c r="D110" s="75"/>
      <c r="E110" s="1404"/>
      <c r="F110" s="1404"/>
      <c r="G110" s="1404"/>
      <c r="H110" s="1404">
        <v>141.5</v>
      </c>
      <c r="I110" s="1405">
        <v>141.5</v>
      </c>
      <c r="J110" s="1405">
        <f t="shared" si="11"/>
        <v>141.5</v>
      </c>
      <c r="K110" s="1405">
        <f t="shared" si="11"/>
        <v>141.5</v>
      </c>
      <c r="L110" s="1405">
        <f t="shared" si="11"/>
        <v>141.5</v>
      </c>
      <c r="M110" s="1405">
        <f t="shared" si="12"/>
        <v>155.65</v>
      </c>
      <c r="N110" s="1403">
        <f t="shared" si="13"/>
        <v>155.65</v>
      </c>
      <c r="O110" s="1403">
        <f t="shared" si="13"/>
        <v>155.65</v>
      </c>
      <c r="P110" s="1403">
        <f t="shared" si="13"/>
        <v>155.65</v>
      </c>
      <c r="Q110" s="1403">
        <v>155.65</v>
      </c>
      <c r="R110" s="25"/>
    </row>
    <row r="111" spans="1:18" ht="17.25">
      <c r="A111" s="608">
        <f t="shared" si="18"/>
        <v>13.059999999999999</v>
      </c>
      <c r="B111" s="24" t="s">
        <v>530</v>
      </c>
      <c r="C111" s="37" t="s">
        <v>519</v>
      </c>
      <c r="D111" s="75"/>
      <c r="E111" s="1404"/>
      <c r="F111" s="1404"/>
      <c r="G111" s="1404"/>
      <c r="H111" s="1404">
        <v>179</v>
      </c>
      <c r="I111" s="1405">
        <v>179</v>
      </c>
      <c r="J111" s="1405">
        <f t="shared" si="11"/>
        <v>179</v>
      </c>
      <c r="K111" s="1405">
        <f t="shared" si="11"/>
        <v>179</v>
      </c>
      <c r="L111" s="1405">
        <f t="shared" si="11"/>
        <v>179</v>
      </c>
      <c r="M111" s="1405">
        <f t="shared" si="12"/>
        <v>196.9</v>
      </c>
      <c r="N111" s="1403">
        <f t="shared" si="13"/>
        <v>196.9</v>
      </c>
      <c r="O111" s="1403">
        <f t="shared" si="13"/>
        <v>196.9</v>
      </c>
      <c r="P111" s="1403">
        <f t="shared" si="13"/>
        <v>196.9</v>
      </c>
      <c r="Q111" s="1403">
        <v>196.9</v>
      </c>
      <c r="R111" s="25"/>
    </row>
    <row r="112" spans="1:18" ht="17.25">
      <c r="A112" s="608">
        <f t="shared" si="18"/>
        <v>13.069999999999999</v>
      </c>
      <c r="B112" s="24" t="s">
        <v>531</v>
      </c>
      <c r="C112" s="37" t="s">
        <v>519</v>
      </c>
      <c r="D112" s="75"/>
      <c r="E112" s="1404"/>
      <c r="F112" s="1404"/>
      <c r="G112" s="1404"/>
      <c r="H112" s="1404">
        <v>248</v>
      </c>
      <c r="I112" s="1405">
        <v>248</v>
      </c>
      <c r="J112" s="1405">
        <f t="shared" si="11"/>
        <v>248</v>
      </c>
      <c r="K112" s="1405">
        <f t="shared" si="11"/>
        <v>248</v>
      </c>
      <c r="L112" s="1405">
        <f t="shared" si="11"/>
        <v>248</v>
      </c>
      <c r="M112" s="1405">
        <f t="shared" si="12"/>
        <v>272.8</v>
      </c>
      <c r="N112" s="1403">
        <f t="shared" si="13"/>
        <v>272.8</v>
      </c>
      <c r="O112" s="1403">
        <f t="shared" si="13"/>
        <v>272.8</v>
      </c>
      <c r="P112" s="1403">
        <f t="shared" si="13"/>
        <v>272.8</v>
      </c>
      <c r="Q112" s="1403">
        <v>272.8</v>
      </c>
      <c r="R112" s="25"/>
    </row>
    <row r="113" spans="1:18" ht="17.25">
      <c r="A113" s="608">
        <f t="shared" si="18"/>
        <v>13.079999999999998</v>
      </c>
      <c r="B113" s="24" t="s">
        <v>532</v>
      </c>
      <c r="C113" s="37" t="s">
        <v>519</v>
      </c>
      <c r="D113" s="75"/>
      <c r="E113" s="1404"/>
      <c r="F113" s="1404"/>
      <c r="G113" s="1404"/>
      <c r="H113" s="1404">
        <v>204</v>
      </c>
      <c r="I113" s="1405">
        <v>204</v>
      </c>
      <c r="J113" s="1405">
        <f t="shared" si="11"/>
        <v>204</v>
      </c>
      <c r="K113" s="1405">
        <f t="shared" si="11"/>
        <v>204</v>
      </c>
      <c r="L113" s="1405">
        <f t="shared" si="11"/>
        <v>204</v>
      </c>
      <c r="M113" s="1405">
        <f t="shared" si="12"/>
        <v>224.4</v>
      </c>
      <c r="N113" s="1403">
        <f t="shared" si="13"/>
        <v>224.4</v>
      </c>
      <c r="O113" s="1403">
        <f t="shared" si="13"/>
        <v>224.4</v>
      </c>
      <c r="P113" s="1403">
        <f t="shared" si="13"/>
        <v>224.4</v>
      </c>
      <c r="Q113" s="1403">
        <v>224.4</v>
      </c>
      <c r="R113" s="25"/>
    </row>
    <row r="114" spans="1:18" ht="17.25">
      <c r="A114" s="608">
        <f t="shared" si="18"/>
        <v>13.089999999999998</v>
      </c>
      <c r="B114" s="50" t="s">
        <v>533</v>
      </c>
      <c r="C114" s="37" t="s">
        <v>519</v>
      </c>
      <c r="D114" s="75"/>
      <c r="E114" s="1404"/>
      <c r="F114" s="1404"/>
      <c r="G114" s="1404"/>
      <c r="H114" s="1404">
        <v>422</v>
      </c>
      <c r="I114" s="1405">
        <v>422</v>
      </c>
      <c r="J114" s="1405">
        <f t="shared" si="11"/>
        <v>422</v>
      </c>
      <c r="K114" s="1405">
        <f t="shared" si="11"/>
        <v>422</v>
      </c>
      <c r="L114" s="1405">
        <f t="shared" si="11"/>
        <v>422</v>
      </c>
      <c r="M114" s="1405">
        <f t="shared" si="12"/>
        <v>464.20000000000005</v>
      </c>
      <c r="N114" s="1403">
        <f t="shared" si="13"/>
        <v>464.20000000000005</v>
      </c>
      <c r="O114" s="1403">
        <f t="shared" si="13"/>
        <v>464.20000000000005</v>
      </c>
      <c r="P114" s="1403">
        <f t="shared" si="13"/>
        <v>464.20000000000005</v>
      </c>
      <c r="Q114" s="1403">
        <v>464.20000000000005</v>
      </c>
      <c r="R114" s="25"/>
    </row>
    <row r="115" spans="1:18" ht="17.25">
      <c r="A115" s="608">
        <f t="shared" si="18"/>
        <v>13.099999999999998</v>
      </c>
      <c r="B115" s="50" t="s">
        <v>546</v>
      </c>
      <c r="C115" s="37" t="s">
        <v>519</v>
      </c>
      <c r="D115" s="75"/>
      <c r="E115" s="1404"/>
      <c r="F115" s="1404"/>
      <c r="G115" s="1404"/>
      <c r="H115" s="1404">
        <v>643.5</v>
      </c>
      <c r="I115" s="1405">
        <v>643.5</v>
      </c>
      <c r="J115" s="1405">
        <f t="shared" si="11"/>
        <v>643.5</v>
      </c>
      <c r="K115" s="1405">
        <f t="shared" si="11"/>
        <v>643.5</v>
      </c>
      <c r="L115" s="1405">
        <f t="shared" si="11"/>
        <v>643.5</v>
      </c>
      <c r="M115" s="1405">
        <f t="shared" si="12"/>
        <v>707.85</v>
      </c>
      <c r="N115" s="1403">
        <f t="shared" si="13"/>
        <v>707.85</v>
      </c>
      <c r="O115" s="1403">
        <f t="shared" si="13"/>
        <v>707.85</v>
      </c>
      <c r="P115" s="1403">
        <f t="shared" si="13"/>
        <v>707.85</v>
      </c>
      <c r="Q115" s="1403">
        <v>707.85</v>
      </c>
      <c r="R115" s="25"/>
    </row>
    <row r="116" spans="1:18" ht="17.25">
      <c r="A116" s="608">
        <f t="shared" si="18"/>
        <v>13.109999999999998</v>
      </c>
      <c r="B116" s="71" t="s">
        <v>547</v>
      </c>
      <c r="C116" s="37" t="s">
        <v>519</v>
      </c>
      <c r="D116" s="1415"/>
      <c r="E116" s="1411"/>
      <c r="F116" s="1411"/>
      <c r="G116" s="1411"/>
      <c r="H116" s="1404">
        <v>763</v>
      </c>
      <c r="I116" s="1405">
        <v>763</v>
      </c>
      <c r="J116" s="1405">
        <f t="shared" si="11"/>
        <v>763</v>
      </c>
      <c r="K116" s="1405">
        <f t="shared" si="11"/>
        <v>763</v>
      </c>
      <c r="L116" s="1405">
        <f t="shared" si="11"/>
        <v>763</v>
      </c>
      <c r="M116" s="1405">
        <f t="shared" si="12"/>
        <v>839.30000000000007</v>
      </c>
      <c r="N116" s="1403">
        <f t="shared" si="13"/>
        <v>839.30000000000007</v>
      </c>
      <c r="O116" s="1403">
        <f t="shared" si="13"/>
        <v>839.30000000000007</v>
      </c>
      <c r="P116" s="1403">
        <f t="shared" si="13"/>
        <v>839.30000000000007</v>
      </c>
      <c r="Q116" s="1403">
        <v>839.30000000000007</v>
      </c>
      <c r="R116" s="25"/>
    </row>
    <row r="117" spans="1:18" ht="15" customHeight="1">
      <c r="A117" s="580">
        <v>14</v>
      </c>
      <c r="B117" s="581" t="s">
        <v>548</v>
      </c>
      <c r="C117" s="445"/>
      <c r="D117" s="1416"/>
      <c r="E117" s="1408"/>
      <c r="F117" s="1408"/>
      <c r="G117" s="1408"/>
      <c r="H117" s="1408"/>
      <c r="I117" s="1408"/>
      <c r="J117" s="1408"/>
      <c r="K117" s="1408"/>
      <c r="L117" s="1408"/>
      <c r="M117" s="1408"/>
      <c r="N117" s="1407"/>
      <c r="O117" s="1407"/>
      <c r="P117" s="1407"/>
      <c r="Q117" s="1407"/>
      <c r="R117" s="330"/>
    </row>
    <row r="118" spans="1:18" ht="17.25">
      <c r="A118" s="608">
        <f>A117+0.01</f>
        <v>14.01</v>
      </c>
      <c r="B118" s="24" t="s">
        <v>525</v>
      </c>
      <c r="C118" s="37" t="s">
        <v>519</v>
      </c>
      <c r="D118" s="75"/>
      <c r="E118" s="1404"/>
      <c r="F118" s="1404"/>
      <c r="G118" s="1404"/>
      <c r="H118" s="1404">
        <v>68.25</v>
      </c>
      <c r="I118" s="1405">
        <v>68.25</v>
      </c>
      <c r="J118" s="1405">
        <f t="shared" si="11"/>
        <v>68.25</v>
      </c>
      <c r="K118" s="1405">
        <f t="shared" si="11"/>
        <v>68.25</v>
      </c>
      <c r="L118" s="1405">
        <f t="shared" si="11"/>
        <v>68.25</v>
      </c>
      <c r="M118" s="1405">
        <f t="shared" si="12"/>
        <v>75.075000000000003</v>
      </c>
      <c r="N118" s="1403">
        <f t="shared" si="13"/>
        <v>75.075000000000003</v>
      </c>
      <c r="O118" s="1403">
        <f t="shared" si="13"/>
        <v>75.075000000000003</v>
      </c>
      <c r="P118" s="1403">
        <f t="shared" si="13"/>
        <v>75.075000000000003</v>
      </c>
      <c r="Q118" s="1403">
        <v>75.075000000000003</v>
      </c>
      <c r="R118" s="25"/>
    </row>
    <row r="119" spans="1:18" ht="17.25">
      <c r="A119" s="608">
        <f t="shared" ref="A119:A128" si="19">A118+0.01</f>
        <v>14.02</v>
      </c>
      <c r="B119" s="24" t="s">
        <v>526</v>
      </c>
      <c r="C119" s="37" t="s">
        <v>519</v>
      </c>
      <c r="D119" s="75"/>
      <c r="E119" s="1404"/>
      <c r="F119" s="1404"/>
      <c r="G119" s="1404"/>
      <c r="H119" s="1404">
        <v>94.4</v>
      </c>
      <c r="I119" s="1405">
        <v>94.4</v>
      </c>
      <c r="J119" s="1405">
        <f t="shared" si="11"/>
        <v>94.4</v>
      </c>
      <c r="K119" s="1405">
        <f t="shared" si="11"/>
        <v>94.4</v>
      </c>
      <c r="L119" s="1405">
        <f t="shared" si="11"/>
        <v>94.4</v>
      </c>
      <c r="M119" s="1405">
        <f t="shared" si="12"/>
        <v>103.84000000000002</v>
      </c>
      <c r="N119" s="1403">
        <f t="shared" si="13"/>
        <v>103.84000000000002</v>
      </c>
      <c r="O119" s="1403">
        <f t="shared" si="13"/>
        <v>103.84000000000002</v>
      </c>
      <c r="P119" s="1403">
        <f t="shared" si="13"/>
        <v>103.84000000000002</v>
      </c>
      <c r="Q119" s="1403">
        <v>103.84000000000002</v>
      </c>
      <c r="R119" s="25"/>
    </row>
    <row r="120" spans="1:18" ht="17.25">
      <c r="A120" s="608">
        <f t="shared" si="19"/>
        <v>14.03</v>
      </c>
      <c r="B120" s="24" t="s">
        <v>527</v>
      </c>
      <c r="C120" s="37" t="s">
        <v>519</v>
      </c>
      <c r="D120" s="75"/>
      <c r="E120" s="1404"/>
      <c r="F120" s="1404"/>
      <c r="G120" s="1404"/>
      <c r="H120" s="1404">
        <v>132.35</v>
      </c>
      <c r="I120" s="1405">
        <v>132.35</v>
      </c>
      <c r="J120" s="1405">
        <f t="shared" si="11"/>
        <v>132.35</v>
      </c>
      <c r="K120" s="1405">
        <f t="shared" si="11"/>
        <v>132.35</v>
      </c>
      <c r="L120" s="1405">
        <f t="shared" si="11"/>
        <v>132.35</v>
      </c>
      <c r="M120" s="1405">
        <f t="shared" si="12"/>
        <v>145.58500000000001</v>
      </c>
      <c r="N120" s="1403">
        <f t="shared" si="13"/>
        <v>145.58500000000001</v>
      </c>
      <c r="O120" s="1403">
        <f t="shared" si="13"/>
        <v>145.58500000000001</v>
      </c>
      <c r="P120" s="1403">
        <f t="shared" si="13"/>
        <v>145.58500000000001</v>
      </c>
      <c r="Q120" s="1403">
        <v>145.58500000000001</v>
      </c>
      <c r="R120" s="25"/>
    </row>
    <row r="121" spans="1:18" ht="17.25">
      <c r="A121" s="608">
        <f t="shared" si="19"/>
        <v>14.04</v>
      </c>
      <c r="B121" s="24" t="s">
        <v>528</v>
      </c>
      <c r="C121" s="37" t="s">
        <v>519</v>
      </c>
      <c r="D121" s="75"/>
      <c r="E121" s="1404"/>
      <c r="F121" s="1404"/>
      <c r="G121" s="1404"/>
      <c r="H121" s="1404">
        <v>169.8</v>
      </c>
      <c r="I121" s="1405">
        <v>169.8</v>
      </c>
      <c r="J121" s="1405">
        <f t="shared" si="11"/>
        <v>169.8</v>
      </c>
      <c r="K121" s="1405">
        <f t="shared" si="11"/>
        <v>169.8</v>
      </c>
      <c r="L121" s="1405">
        <f t="shared" si="11"/>
        <v>169.8</v>
      </c>
      <c r="M121" s="1405">
        <f t="shared" si="12"/>
        <v>186.78000000000003</v>
      </c>
      <c r="N121" s="1403">
        <f t="shared" si="13"/>
        <v>186.78000000000003</v>
      </c>
      <c r="O121" s="1403">
        <f t="shared" si="13"/>
        <v>186.78000000000003</v>
      </c>
      <c r="P121" s="1403">
        <f t="shared" si="13"/>
        <v>186.78000000000003</v>
      </c>
      <c r="Q121" s="1403">
        <v>186.78000000000003</v>
      </c>
      <c r="R121" s="25"/>
    </row>
    <row r="122" spans="1:18" ht="17.25">
      <c r="A122" s="608">
        <f t="shared" si="19"/>
        <v>14.049999999999999</v>
      </c>
      <c r="B122" s="24" t="s">
        <v>529</v>
      </c>
      <c r="C122" s="37" t="s">
        <v>519</v>
      </c>
      <c r="D122" s="75"/>
      <c r="E122" s="1404"/>
      <c r="F122" s="1404"/>
      <c r="G122" s="1404"/>
      <c r="H122" s="1404">
        <v>121.5</v>
      </c>
      <c r="I122" s="1405">
        <v>121.5</v>
      </c>
      <c r="J122" s="1405">
        <f t="shared" si="11"/>
        <v>121.5</v>
      </c>
      <c r="K122" s="1405">
        <f t="shared" si="11"/>
        <v>121.5</v>
      </c>
      <c r="L122" s="1405">
        <f t="shared" si="11"/>
        <v>121.5</v>
      </c>
      <c r="M122" s="1405">
        <f t="shared" si="12"/>
        <v>133.65</v>
      </c>
      <c r="N122" s="1403">
        <f t="shared" si="13"/>
        <v>133.65</v>
      </c>
      <c r="O122" s="1403">
        <f t="shared" si="13"/>
        <v>133.65</v>
      </c>
      <c r="P122" s="1403">
        <f t="shared" si="13"/>
        <v>133.65</v>
      </c>
      <c r="Q122" s="1403">
        <v>133.65</v>
      </c>
      <c r="R122" s="25"/>
    </row>
    <row r="123" spans="1:18" ht="17.25">
      <c r="A123" s="608">
        <f t="shared" si="19"/>
        <v>14.059999999999999</v>
      </c>
      <c r="B123" s="24" t="s">
        <v>530</v>
      </c>
      <c r="C123" s="37" t="s">
        <v>519</v>
      </c>
      <c r="D123" s="75"/>
      <c r="E123" s="1404"/>
      <c r="F123" s="1404"/>
      <c r="G123" s="1404"/>
      <c r="H123" s="1404">
        <v>268.5</v>
      </c>
      <c r="I123" s="1405">
        <v>268.5</v>
      </c>
      <c r="J123" s="1405">
        <f t="shared" si="11"/>
        <v>268.5</v>
      </c>
      <c r="K123" s="1405">
        <f t="shared" si="11"/>
        <v>268.5</v>
      </c>
      <c r="L123" s="1405">
        <f t="shared" si="11"/>
        <v>268.5</v>
      </c>
      <c r="M123" s="1405">
        <f t="shared" si="12"/>
        <v>295.35000000000002</v>
      </c>
      <c r="N123" s="1403">
        <f t="shared" si="13"/>
        <v>295.35000000000002</v>
      </c>
      <c r="O123" s="1403">
        <f t="shared" si="13"/>
        <v>295.35000000000002</v>
      </c>
      <c r="P123" s="1403">
        <f t="shared" si="13"/>
        <v>295.35000000000002</v>
      </c>
      <c r="Q123" s="1403">
        <v>295.35000000000002</v>
      </c>
      <c r="R123" s="25"/>
    </row>
    <row r="124" spans="1:18" ht="17.25">
      <c r="A124" s="608">
        <f t="shared" si="19"/>
        <v>14.069999999999999</v>
      </c>
      <c r="B124" s="24" t="s">
        <v>531</v>
      </c>
      <c r="C124" s="37" t="s">
        <v>519</v>
      </c>
      <c r="D124" s="75"/>
      <c r="E124" s="1404"/>
      <c r="F124" s="1404"/>
      <c r="G124" s="1404"/>
      <c r="H124" s="1404">
        <v>373.2</v>
      </c>
      <c r="I124" s="1405">
        <v>373.2</v>
      </c>
      <c r="J124" s="1405">
        <f t="shared" si="11"/>
        <v>373.2</v>
      </c>
      <c r="K124" s="1405">
        <f t="shared" si="11"/>
        <v>373.2</v>
      </c>
      <c r="L124" s="1405">
        <f t="shared" si="11"/>
        <v>373.2</v>
      </c>
      <c r="M124" s="1405">
        <f t="shared" si="12"/>
        <v>410.52000000000004</v>
      </c>
      <c r="N124" s="1403">
        <f t="shared" si="13"/>
        <v>410.52000000000004</v>
      </c>
      <c r="O124" s="1403">
        <f t="shared" si="13"/>
        <v>410.52000000000004</v>
      </c>
      <c r="P124" s="1403">
        <f t="shared" si="13"/>
        <v>410.52000000000004</v>
      </c>
      <c r="Q124" s="1403">
        <v>410.52000000000004</v>
      </c>
      <c r="R124" s="25"/>
    </row>
    <row r="125" spans="1:18" ht="17.25">
      <c r="A125" s="608">
        <f t="shared" si="19"/>
        <v>14.079999999999998</v>
      </c>
      <c r="B125" s="24" t="s">
        <v>532</v>
      </c>
      <c r="C125" s="37" t="s">
        <v>519</v>
      </c>
      <c r="D125" s="75"/>
      <c r="E125" s="1404"/>
      <c r="F125" s="1404"/>
      <c r="G125" s="1404"/>
      <c r="H125" s="1404">
        <v>438.5</v>
      </c>
      <c r="I125" s="1405">
        <v>438.5</v>
      </c>
      <c r="J125" s="1405">
        <f t="shared" si="11"/>
        <v>438.5</v>
      </c>
      <c r="K125" s="1405">
        <f t="shared" si="11"/>
        <v>438.5</v>
      </c>
      <c r="L125" s="1405">
        <f t="shared" si="11"/>
        <v>438.5</v>
      </c>
      <c r="M125" s="1405">
        <f t="shared" si="12"/>
        <v>482.35</v>
      </c>
      <c r="N125" s="1403">
        <f t="shared" si="13"/>
        <v>482.35</v>
      </c>
      <c r="O125" s="1403">
        <f t="shared" si="13"/>
        <v>482.35</v>
      </c>
      <c r="P125" s="1403">
        <f t="shared" si="13"/>
        <v>482.35</v>
      </c>
      <c r="Q125" s="1403">
        <v>482.35</v>
      </c>
      <c r="R125" s="25"/>
    </row>
    <row r="126" spans="1:18" ht="17.25">
      <c r="A126" s="608">
        <f t="shared" si="19"/>
        <v>14.089999999999998</v>
      </c>
      <c r="B126" s="50" t="s">
        <v>533</v>
      </c>
      <c r="C126" s="37" t="s">
        <v>519</v>
      </c>
      <c r="D126" s="75"/>
      <c r="E126" s="1404"/>
      <c r="F126" s="1404"/>
      <c r="G126" s="1404"/>
      <c r="H126" s="1404">
        <v>632.79999999999995</v>
      </c>
      <c r="I126" s="1405">
        <v>632.79999999999995</v>
      </c>
      <c r="J126" s="1405">
        <f t="shared" si="11"/>
        <v>632.79999999999995</v>
      </c>
      <c r="K126" s="1405">
        <f t="shared" si="11"/>
        <v>632.79999999999995</v>
      </c>
      <c r="L126" s="1405">
        <f t="shared" si="11"/>
        <v>632.79999999999995</v>
      </c>
      <c r="M126" s="1405">
        <f t="shared" si="12"/>
        <v>696.08</v>
      </c>
      <c r="N126" s="1403">
        <f t="shared" si="13"/>
        <v>696.08</v>
      </c>
      <c r="O126" s="1403">
        <f t="shared" si="13"/>
        <v>696.08</v>
      </c>
      <c r="P126" s="1403">
        <f t="shared" si="13"/>
        <v>696.08</v>
      </c>
      <c r="Q126" s="1403">
        <v>696.08</v>
      </c>
      <c r="R126" s="25"/>
    </row>
    <row r="127" spans="1:18" ht="17.25">
      <c r="A127" s="608">
        <f t="shared" si="19"/>
        <v>14.099999999999998</v>
      </c>
      <c r="B127" s="50" t="s">
        <v>546</v>
      </c>
      <c r="C127" s="37" t="s">
        <v>519</v>
      </c>
      <c r="D127" s="75"/>
      <c r="E127" s="1661"/>
      <c r="F127" s="1661"/>
      <c r="G127" s="1661"/>
      <c r="H127" s="77">
        <v>965.4</v>
      </c>
      <c r="I127" s="1405">
        <v>965.4</v>
      </c>
      <c r="J127" s="1405">
        <f t="shared" si="11"/>
        <v>965.4</v>
      </c>
      <c r="K127" s="1405">
        <f t="shared" si="11"/>
        <v>965.4</v>
      </c>
      <c r="L127" s="1405">
        <f t="shared" si="11"/>
        <v>965.4</v>
      </c>
      <c r="M127" s="1405">
        <f t="shared" si="12"/>
        <v>1061.94</v>
      </c>
      <c r="N127" s="1403">
        <f t="shared" si="13"/>
        <v>1061.94</v>
      </c>
      <c r="O127" s="1403">
        <f t="shared" si="13"/>
        <v>1061.94</v>
      </c>
      <c r="P127" s="1403">
        <f t="shared" si="13"/>
        <v>1061.94</v>
      </c>
      <c r="Q127" s="1403">
        <v>1061.94</v>
      </c>
      <c r="R127" s="25"/>
    </row>
    <row r="128" spans="1:18" ht="17.25">
      <c r="A128" s="608">
        <f t="shared" si="19"/>
        <v>14.109999999999998</v>
      </c>
      <c r="B128" s="71" t="s">
        <v>547</v>
      </c>
      <c r="C128" s="37" t="s">
        <v>519</v>
      </c>
      <c r="D128" s="75"/>
      <c r="E128" s="77"/>
      <c r="F128" s="77"/>
      <c r="G128" s="77"/>
      <c r="H128" s="77">
        <v>1145.75</v>
      </c>
      <c r="I128" s="1405">
        <v>1145.75</v>
      </c>
      <c r="J128" s="1405">
        <f t="shared" si="11"/>
        <v>1145.75</v>
      </c>
      <c r="K128" s="1405">
        <f t="shared" si="11"/>
        <v>1145.75</v>
      </c>
      <c r="L128" s="1405">
        <f t="shared" si="11"/>
        <v>1145.75</v>
      </c>
      <c r="M128" s="1405">
        <f t="shared" si="12"/>
        <v>1260.325</v>
      </c>
      <c r="N128" s="1403">
        <f t="shared" si="13"/>
        <v>1260.325</v>
      </c>
      <c r="O128" s="1403">
        <f t="shared" si="13"/>
        <v>1260.325</v>
      </c>
      <c r="P128" s="1403">
        <f t="shared" si="13"/>
        <v>1260.325</v>
      </c>
      <c r="Q128" s="1403">
        <v>1260.325</v>
      </c>
      <c r="R128" s="25"/>
    </row>
    <row r="129" spans="1:19" ht="15" customHeight="1">
      <c r="A129" s="392">
        <v>15</v>
      </c>
      <c r="B129" s="581" t="s">
        <v>549</v>
      </c>
      <c r="C129" s="445"/>
      <c r="D129" s="1416"/>
      <c r="E129" s="492"/>
      <c r="F129" s="492"/>
      <c r="G129" s="492"/>
      <c r="H129" s="492"/>
      <c r="I129" s="1408"/>
      <c r="J129" s="1408"/>
      <c r="K129" s="1408"/>
      <c r="L129" s="1408"/>
      <c r="M129" s="1408"/>
      <c r="N129" s="1407"/>
      <c r="O129" s="1407"/>
      <c r="P129" s="1407"/>
      <c r="Q129" s="1407"/>
      <c r="R129" s="330"/>
    </row>
    <row r="130" spans="1:19" ht="17.25">
      <c r="A130" s="608">
        <f>A129+0.01</f>
        <v>15.01</v>
      </c>
      <c r="B130" s="24" t="s">
        <v>525</v>
      </c>
      <c r="C130" s="37" t="s">
        <v>519</v>
      </c>
      <c r="D130" s="75"/>
      <c r="E130" s="77"/>
      <c r="F130" s="77"/>
      <c r="G130" s="77"/>
      <c r="H130" s="1417">
        <v>102.3</v>
      </c>
      <c r="I130" s="1405">
        <v>102.3</v>
      </c>
      <c r="J130" s="1405">
        <f t="shared" si="11"/>
        <v>102.3</v>
      </c>
      <c r="K130" s="1405">
        <f t="shared" si="11"/>
        <v>102.3</v>
      </c>
      <c r="L130" s="1405">
        <f t="shared" si="11"/>
        <v>102.3</v>
      </c>
      <c r="M130" s="1405">
        <f t="shared" si="12"/>
        <v>112.53</v>
      </c>
      <c r="N130" s="1403">
        <f t="shared" si="13"/>
        <v>112.53</v>
      </c>
      <c r="O130" s="1403">
        <f t="shared" si="13"/>
        <v>112.53</v>
      </c>
      <c r="P130" s="1403">
        <f t="shared" si="13"/>
        <v>112.53</v>
      </c>
      <c r="Q130" s="1403">
        <v>112.53</v>
      </c>
      <c r="R130" s="25"/>
    </row>
    <row r="131" spans="1:19" ht="17.25">
      <c r="A131" s="608">
        <f t="shared" ref="A131:A140" si="20">A130+0.01</f>
        <v>15.02</v>
      </c>
      <c r="B131" s="24" t="s">
        <v>526</v>
      </c>
      <c r="C131" s="37" t="s">
        <v>519</v>
      </c>
      <c r="D131" s="75"/>
      <c r="E131" s="77"/>
      <c r="F131" s="77"/>
      <c r="G131" s="77"/>
      <c r="H131" s="1417">
        <v>141.69999999999999</v>
      </c>
      <c r="I131" s="1405">
        <v>141.69999999999999</v>
      </c>
      <c r="J131" s="1405">
        <f t="shared" si="11"/>
        <v>141.69999999999999</v>
      </c>
      <c r="K131" s="1405">
        <f t="shared" si="11"/>
        <v>141.69999999999999</v>
      </c>
      <c r="L131" s="1405">
        <f t="shared" si="11"/>
        <v>141.69999999999999</v>
      </c>
      <c r="M131" s="1405">
        <f t="shared" si="12"/>
        <v>155.87</v>
      </c>
      <c r="N131" s="1403">
        <f t="shared" si="13"/>
        <v>155.87</v>
      </c>
      <c r="O131" s="1403">
        <f t="shared" si="13"/>
        <v>155.87</v>
      </c>
      <c r="P131" s="1403">
        <f t="shared" si="13"/>
        <v>155.87</v>
      </c>
      <c r="Q131" s="1403">
        <v>155.87</v>
      </c>
      <c r="R131" s="25"/>
    </row>
    <row r="132" spans="1:19" ht="17.25">
      <c r="A132" s="608">
        <f t="shared" si="20"/>
        <v>15.03</v>
      </c>
      <c r="B132" s="24" t="s">
        <v>527</v>
      </c>
      <c r="C132" s="37" t="s">
        <v>519</v>
      </c>
      <c r="D132" s="75"/>
      <c r="E132" s="77"/>
      <c r="F132" s="77"/>
      <c r="G132" s="77"/>
      <c r="H132" s="1417">
        <v>198.6</v>
      </c>
      <c r="I132" s="1405">
        <v>198.6</v>
      </c>
      <c r="J132" s="1405">
        <f t="shared" si="11"/>
        <v>198.6</v>
      </c>
      <c r="K132" s="1405">
        <f t="shared" si="11"/>
        <v>198.6</v>
      </c>
      <c r="L132" s="1405">
        <f t="shared" si="11"/>
        <v>198.6</v>
      </c>
      <c r="M132" s="1405">
        <f t="shared" si="12"/>
        <v>218.46</v>
      </c>
      <c r="N132" s="1403">
        <f t="shared" si="13"/>
        <v>218.46</v>
      </c>
      <c r="O132" s="1403">
        <f t="shared" si="13"/>
        <v>218.46</v>
      </c>
      <c r="P132" s="1403">
        <f t="shared" si="13"/>
        <v>218.46</v>
      </c>
      <c r="Q132" s="1403">
        <v>218.46</v>
      </c>
      <c r="R132" s="25"/>
    </row>
    <row r="133" spans="1:19" ht="17.25">
      <c r="A133" s="608">
        <f t="shared" si="20"/>
        <v>15.04</v>
      </c>
      <c r="B133" s="24" t="s">
        <v>528</v>
      </c>
      <c r="C133" s="37" t="s">
        <v>519</v>
      </c>
      <c r="D133" s="75"/>
      <c r="E133" s="77"/>
      <c r="F133" s="77"/>
      <c r="G133" s="77"/>
      <c r="H133" s="1417">
        <v>254.7</v>
      </c>
      <c r="I133" s="1405">
        <v>254.7</v>
      </c>
      <c r="J133" s="1405">
        <f t="shared" ref="J133:L196" si="21">I133</f>
        <v>254.7</v>
      </c>
      <c r="K133" s="1405">
        <f t="shared" si="21"/>
        <v>254.7</v>
      </c>
      <c r="L133" s="1405">
        <f t="shared" si="21"/>
        <v>254.7</v>
      </c>
      <c r="M133" s="1405">
        <f t="shared" ref="M133:M196" si="22">L133*1.1</f>
        <v>280.17</v>
      </c>
      <c r="N133" s="1403">
        <f t="shared" ref="N133:P196" si="23">M133</f>
        <v>280.17</v>
      </c>
      <c r="O133" s="1403">
        <f t="shared" si="23"/>
        <v>280.17</v>
      </c>
      <c r="P133" s="1403">
        <f t="shared" si="23"/>
        <v>280.17</v>
      </c>
      <c r="Q133" s="1403">
        <v>280.17</v>
      </c>
      <c r="R133" s="25"/>
    </row>
    <row r="134" spans="1:19" ht="17.25">
      <c r="A134" s="608">
        <f t="shared" si="20"/>
        <v>15.049999999999999</v>
      </c>
      <c r="B134" s="24" t="s">
        <v>529</v>
      </c>
      <c r="C134" s="37" t="s">
        <v>519</v>
      </c>
      <c r="D134" s="75"/>
      <c r="E134" s="77"/>
      <c r="F134" s="77"/>
      <c r="G134" s="77"/>
      <c r="H134" s="1417">
        <v>318.64999999999998</v>
      </c>
      <c r="I134" s="1405">
        <v>318.64999999999998</v>
      </c>
      <c r="J134" s="1405">
        <f t="shared" si="21"/>
        <v>318.64999999999998</v>
      </c>
      <c r="K134" s="1405">
        <f t="shared" si="21"/>
        <v>318.64999999999998</v>
      </c>
      <c r="L134" s="1405">
        <f t="shared" si="21"/>
        <v>318.64999999999998</v>
      </c>
      <c r="M134" s="1405">
        <f t="shared" si="22"/>
        <v>350.51499999999999</v>
      </c>
      <c r="N134" s="1403">
        <f t="shared" si="23"/>
        <v>350.51499999999999</v>
      </c>
      <c r="O134" s="1403">
        <f t="shared" si="23"/>
        <v>350.51499999999999</v>
      </c>
      <c r="P134" s="1403">
        <f t="shared" si="23"/>
        <v>350.51499999999999</v>
      </c>
      <c r="Q134" s="1403">
        <v>350.51499999999999</v>
      </c>
      <c r="R134" s="25"/>
    </row>
    <row r="135" spans="1:19" ht="17.25">
      <c r="A135" s="608">
        <f t="shared" si="20"/>
        <v>15.059999999999999</v>
      </c>
      <c r="B135" s="24" t="s">
        <v>530</v>
      </c>
      <c r="C135" s="37" t="s">
        <v>519</v>
      </c>
      <c r="D135" s="75"/>
      <c r="E135" s="77"/>
      <c r="F135" s="77"/>
      <c r="G135" s="77"/>
      <c r="H135" s="1417">
        <v>402.75</v>
      </c>
      <c r="I135" s="1405">
        <v>402.75</v>
      </c>
      <c r="J135" s="1405">
        <f t="shared" si="21"/>
        <v>402.75</v>
      </c>
      <c r="K135" s="1405">
        <f t="shared" si="21"/>
        <v>402.75</v>
      </c>
      <c r="L135" s="1405">
        <f t="shared" si="21"/>
        <v>402.75</v>
      </c>
      <c r="M135" s="1405">
        <f t="shared" si="22"/>
        <v>443.02500000000003</v>
      </c>
      <c r="N135" s="1403">
        <f t="shared" si="23"/>
        <v>443.02500000000003</v>
      </c>
      <c r="O135" s="1403">
        <f t="shared" si="23"/>
        <v>443.02500000000003</v>
      </c>
      <c r="P135" s="1403">
        <f t="shared" si="23"/>
        <v>443.02500000000003</v>
      </c>
      <c r="Q135" s="1403">
        <v>443.02500000000003</v>
      </c>
      <c r="R135" s="25"/>
    </row>
    <row r="136" spans="1:19" ht="17.25">
      <c r="A136" s="608">
        <f t="shared" si="20"/>
        <v>15.069999999999999</v>
      </c>
      <c r="B136" s="24" t="s">
        <v>531</v>
      </c>
      <c r="C136" s="37" t="s">
        <v>519</v>
      </c>
      <c r="D136" s="75"/>
      <c r="E136" s="77"/>
      <c r="F136" s="77"/>
      <c r="G136" s="77"/>
      <c r="H136" s="1417">
        <v>559.79999999999995</v>
      </c>
      <c r="I136" s="1405">
        <v>559.79999999999995</v>
      </c>
      <c r="J136" s="1405">
        <f t="shared" si="21"/>
        <v>559.79999999999995</v>
      </c>
      <c r="K136" s="1405">
        <f t="shared" si="21"/>
        <v>559.79999999999995</v>
      </c>
      <c r="L136" s="1405">
        <f t="shared" si="21"/>
        <v>559.79999999999995</v>
      </c>
      <c r="M136" s="1405">
        <f t="shared" si="22"/>
        <v>615.78</v>
      </c>
      <c r="N136" s="1403">
        <f t="shared" si="23"/>
        <v>615.78</v>
      </c>
      <c r="O136" s="1403">
        <f t="shared" si="23"/>
        <v>615.78</v>
      </c>
      <c r="P136" s="1403">
        <f t="shared" si="23"/>
        <v>615.78</v>
      </c>
      <c r="Q136" s="1403">
        <v>615.78</v>
      </c>
      <c r="R136" s="25"/>
    </row>
    <row r="137" spans="1:19" ht="17.25">
      <c r="A137" s="608">
        <f t="shared" si="20"/>
        <v>15.079999999999998</v>
      </c>
      <c r="B137" s="24" t="s">
        <v>532</v>
      </c>
      <c r="C137" s="37" t="s">
        <v>519</v>
      </c>
      <c r="D137" s="75"/>
      <c r="E137" s="77"/>
      <c r="F137" s="77"/>
      <c r="G137" s="77"/>
      <c r="H137" s="1417">
        <v>657.8</v>
      </c>
      <c r="I137" s="1405">
        <v>657.8</v>
      </c>
      <c r="J137" s="1405">
        <f t="shared" si="21"/>
        <v>657.8</v>
      </c>
      <c r="K137" s="1405">
        <f t="shared" si="21"/>
        <v>657.8</v>
      </c>
      <c r="L137" s="1405">
        <f t="shared" si="21"/>
        <v>657.8</v>
      </c>
      <c r="M137" s="1405">
        <f t="shared" si="22"/>
        <v>723.58</v>
      </c>
      <c r="N137" s="1403">
        <f t="shared" si="23"/>
        <v>723.58</v>
      </c>
      <c r="O137" s="1403">
        <f t="shared" si="23"/>
        <v>723.58</v>
      </c>
      <c r="P137" s="1403">
        <f t="shared" si="23"/>
        <v>723.58</v>
      </c>
      <c r="Q137" s="1403">
        <v>723.58</v>
      </c>
      <c r="R137" s="25"/>
      <c r="S137" s="79"/>
    </row>
    <row r="138" spans="1:19" ht="17.25">
      <c r="A138" s="608">
        <f t="shared" si="20"/>
        <v>15.089999999999998</v>
      </c>
      <c r="B138" s="50" t="s">
        <v>533</v>
      </c>
      <c r="C138" s="37" t="s">
        <v>519</v>
      </c>
      <c r="D138" s="75"/>
      <c r="E138" s="77"/>
      <c r="F138" s="77"/>
      <c r="G138" s="77"/>
      <c r="H138" s="1417">
        <v>949.2</v>
      </c>
      <c r="I138" s="1405">
        <v>949.2</v>
      </c>
      <c r="J138" s="1405">
        <f t="shared" si="21"/>
        <v>949.2</v>
      </c>
      <c r="K138" s="1405">
        <f t="shared" si="21"/>
        <v>949.2</v>
      </c>
      <c r="L138" s="1405">
        <f t="shared" si="21"/>
        <v>949.2</v>
      </c>
      <c r="M138" s="1405">
        <f t="shared" si="22"/>
        <v>1044.1200000000001</v>
      </c>
      <c r="N138" s="1403">
        <f t="shared" si="23"/>
        <v>1044.1200000000001</v>
      </c>
      <c r="O138" s="1403">
        <f t="shared" si="23"/>
        <v>1044.1200000000001</v>
      </c>
      <c r="P138" s="1403">
        <f t="shared" si="23"/>
        <v>1044.1200000000001</v>
      </c>
      <c r="Q138" s="1403">
        <v>1044.1200000000001</v>
      </c>
      <c r="R138" s="25"/>
    </row>
    <row r="139" spans="1:19" ht="17.25">
      <c r="A139" s="608">
        <f t="shared" si="20"/>
        <v>15.099999999999998</v>
      </c>
      <c r="B139" s="50" t="s">
        <v>546</v>
      </c>
      <c r="C139" s="37" t="s">
        <v>519</v>
      </c>
      <c r="D139" s="75"/>
      <c r="E139" s="77"/>
      <c r="F139" s="77"/>
      <c r="G139" s="77"/>
      <c r="H139" s="1417">
        <v>1448</v>
      </c>
      <c r="I139" s="1405">
        <v>1448</v>
      </c>
      <c r="J139" s="1405">
        <f t="shared" si="21"/>
        <v>1448</v>
      </c>
      <c r="K139" s="1405">
        <f t="shared" si="21"/>
        <v>1448</v>
      </c>
      <c r="L139" s="1405">
        <f t="shared" si="21"/>
        <v>1448</v>
      </c>
      <c r="M139" s="1405">
        <f t="shared" si="22"/>
        <v>1592.8000000000002</v>
      </c>
      <c r="N139" s="1403">
        <f t="shared" si="23"/>
        <v>1592.8000000000002</v>
      </c>
      <c r="O139" s="1403">
        <f t="shared" si="23"/>
        <v>1592.8000000000002</v>
      </c>
      <c r="P139" s="1403">
        <f t="shared" si="23"/>
        <v>1592.8000000000002</v>
      </c>
      <c r="Q139" s="1403">
        <v>1592.8000000000002</v>
      </c>
      <c r="R139" s="25"/>
    </row>
    <row r="140" spans="1:19" ht="17.25">
      <c r="A140" s="608">
        <f t="shared" si="20"/>
        <v>15.109999999999998</v>
      </c>
      <c r="B140" s="71" t="s">
        <v>547</v>
      </c>
      <c r="C140" s="37" t="s">
        <v>519</v>
      </c>
      <c r="D140" s="75"/>
      <c r="E140" s="77"/>
      <c r="F140" s="77"/>
      <c r="G140" s="77"/>
      <c r="H140" s="1417">
        <v>1718.5</v>
      </c>
      <c r="I140" s="1405">
        <v>1718.5</v>
      </c>
      <c r="J140" s="1405">
        <f t="shared" si="21"/>
        <v>1718.5</v>
      </c>
      <c r="K140" s="1405">
        <f t="shared" si="21"/>
        <v>1718.5</v>
      </c>
      <c r="L140" s="1405">
        <f t="shared" si="21"/>
        <v>1718.5</v>
      </c>
      <c r="M140" s="1405">
        <f t="shared" si="22"/>
        <v>1890.3500000000001</v>
      </c>
      <c r="N140" s="1403">
        <f t="shared" si="23"/>
        <v>1890.3500000000001</v>
      </c>
      <c r="O140" s="1403">
        <f t="shared" si="23"/>
        <v>1890.3500000000001</v>
      </c>
      <c r="P140" s="1403">
        <f t="shared" si="23"/>
        <v>1890.3500000000001</v>
      </c>
      <c r="Q140" s="1403">
        <v>1890.3500000000001</v>
      </c>
      <c r="R140" s="25"/>
    </row>
    <row r="141" spans="1:19" ht="15" customHeight="1">
      <c r="A141" s="392">
        <v>16</v>
      </c>
      <c r="B141" s="581" t="s">
        <v>550</v>
      </c>
      <c r="C141" s="445"/>
      <c r="D141" s="1416"/>
      <c r="E141" s="492"/>
      <c r="F141" s="492"/>
      <c r="G141" s="492"/>
      <c r="H141" s="492"/>
      <c r="I141" s="1408"/>
      <c r="J141" s="1408"/>
      <c r="K141" s="1408"/>
      <c r="L141" s="1408"/>
      <c r="M141" s="1408"/>
      <c r="N141" s="1407"/>
      <c r="O141" s="1407"/>
      <c r="P141" s="1407"/>
      <c r="Q141" s="1407"/>
      <c r="R141" s="330"/>
    </row>
    <row r="142" spans="1:19" ht="17.25">
      <c r="A142" s="608">
        <f>A141+0.01</f>
        <v>16.010000000000002</v>
      </c>
      <c r="B142" s="24" t="s">
        <v>525</v>
      </c>
      <c r="C142" s="37" t="s">
        <v>519</v>
      </c>
      <c r="D142" s="75"/>
      <c r="E142" s="77"/>
      <c r="F142" s="77"/>
      <c r="G142" s="77"/>
      <c r="H142" s="1417">
        <v>136.30000000000001</v>
      </c>
      <c r="I142" s="1405">
        <v>136.30000000000001</v>
      </c>
      <c r="J142" s="1405">
        <f t="shared" si="21"/>
        <v>136.30000000000001</v>
      </c>
      <c r="K142" s="1405">
        <f t="shared" si="21"/>
        <v>136.30000000000001</v>
      </c>
      <c r="L142" s="1405">
        <f t="shared" si="21"/>
        <v>136.30000000000001</v>
      </c>
      <c r="M142" s="1405">
        <f t="shared" si="22"/>
        <v>149.93000000000004</v>
      </c>
      <c r="N142" s="1403">
        <f t="shared" si="23"/>
        <v>149.93000000000004</v>
      </c>
      <c r="O142" s="1403">
        <f t="shared" si="23"/>
        <v>149.93000000000004</v>
      </c>
      <c r="P142" s="1403">
        <f t="shared" si="23"/>
        <v>149.93000000000004</v>
      </c>
      <c r="Q142" s="1403">
        <v>149.93000000000004</v>
      </c>
      <c r="R142" s="25"/>
    </row>
    <row r="143" spans="1:19" ht="17.25">
      <c r="A143" s="608">
        <f t="shared" ref="A143:A152" si="24">A142+0.01</f>
        <v>16.020000000000003</v>
      </c>
      <c r="B143" s="24" t="s">
        <v>526</v>
      </c>
      <c r="C143" s="37" t="s">
        <v>519</v>
      </c>
      <c r="D143" s="75"/>
      <c r="E143" s="77"/>
      <c r="F143" s="77"/>
      <c r="G143" s="77"/>
      <c r="H143" s="1417">
        <v>188.85</v>
      </c>
      <c r="I143" s="1405">
        <v>188.85</v>
      </c>
      <c r="J143" s="1405">
        <f t="shared" si="21"/>
        <v>188.85</v>
      </c>
      <c r="K143" s="1405">
        <f t="shared" si="21"/>
        <v>188.85</v>
      </c>
      <c r="L143" s="1405">
        <f t="shared" si="21"/>
        <v>188.85</v>
      </c>
      <c r="M143" s="1405">
        <f t="shared" si="22"/>
        <v>207.73500000000001</v>
      </c>
      <c r="N143" s="1403">
        <f t="shared" si="23"/>
        <v>207.73500000000001</v>
      </c>
      <c r="O143" s="1403">
        <f t="shared" si="23"/>
        <v>207.73500000000001</v>
      </c>
      <c r="P143" s="1403">
        <f t="shared" si="23"/>
        <v>207.73500000000001</v>
      </c>
      <c r="Q143" s="1403">
        <v>207.73500000000001</v>
      </c>
      <c r="R143" s="25"/>
    </row>
    <row r="144" spans="1:19" ht="17.25">
      <c r="A144" s="608">
        <f t="shared" si="24"/>
        <v>16.030000000000005</v>
      </c>
      <c r="B144" s="24" t="s">
        <v>527</v>
      </c>
      <c r="C144" s="37" t="s">
        <v>519</v>
      </c>
      <c r="D144" s="75"/>
      <c r="E144" s="77"/>
      <c r="F144" s="77"/>
      <c r="G144" s="77"/>
      <c r="H144" s="1417">
        <v>264.75</v>
      </c>
      <c r="I144" s="1405">
        <v>264.75</v>
      </c>
      <c r="J144" s="1405">
        <f t="shared" si="21"/>
        <v>264.75</v>
      </c>
      <c r="K144" s="1405">
        <f t="shared" si="21"/>
        <v>264.75</v>
      </c>
      <c r="L144" s="1405">
        <f t="shared" si="21"/>
        <v>264.75</v>
      </c>
      <c r="M144" s="1405">
        <f t="shared" si="22"/>
        <v>291.22500000000002</v>
      </c>
      <c r="N144" s="1403">
        <f t="shared" si="23"/>
        <v>291.22500000000002</v>
      </c>
      <c r="O144" s="1403">
        <f t="shared" si="23"/>
        <v>291.22500000000002</v>
      </c>
      <c r="P144" s="1403">
        <f t="shared" si="23"/>
        <v>291.22500000000002</v>
      </c>
      <c r="Q144" s="1403">
        <v>291.22500000000002</v>
      </c>
      <c r="R144" s="25"/>
    </row>
    <row r="145" spans="1:18" ht="17.25">
      <c r="A145" s="608">
        <f t="shared" si="24"/>
        <v>16.040000000000006</v>
      </c>
      <c r="B145" s="24" t="s">
        <v>528</v>
      </c>
      <c r="C145" s="37" t="s">
        <v>519</v>
      </c>
      <c r="D145" s="75"/>
      <c r="E145" s="77"/>
      <c r="F145" s="77"/>
      <c r="G145" s="77"/>
      <c r="H145" s="1417">
        <v>339.6</v>
      </c>
      <c r="I145" s="1405">
        <v>339.6</v>
      </c>
      <c r="J145" s="1405">
        <f t="shared" si="21"/>
        <v>339.6</v>
      </c>
      <c r="K145" s="1405">
        <f t="shared" si="21"/>
        <v>339.6</v>
      </c>
      <c r="L145" s="1405">
        <f t="shared" si="21"/>
        <v>339.6</v>
      </c>
      <c r="M145" s="1405">
        <f t="shared" si="22"/>
        <v>373.56000000000006</v>
      </c>
      <c r="N145" s="1403">
        <f t="shared" si="23"/>
        <v>373.56000000000006</v>
      </c>
      <c r="O145" s="1403">
        <f t="shared" si="23"/>
        <v>373.56000000000006</v>
      </c>
      <c r="P145" s="1403">
        <f t="shared" si="23"/>
        <v>373.56000000000006</v>
      </c>
      <c r="Q145" s="1403">
        <v>373.56000000000006</v>
      </c>
      <c r="R145" s="25"/>
    </row>
    <row r="146" spans="1:18" ht="17.25">
      <c r="A146" s="608">
        <f t="shared" si="24"/>
        <v>16.050000000000008</v>
      </c>
      <c r="B146" s="24" t="s">
        <v>529</v>
      </c>
      <c r="C146" s="37" t="s">
        <v>519</v>
      </c>
      <c r="D146" s="75"/>
      <c r="E146" s="77"/>
      <c r="F146" s="77"/>
      <c r="G146" s="77"/>
      <c r="H146" s="1417">
        <v>424.8</v>
      </c>
      <c r="I146" s="1405">
        <v>424.8</v>
      </c>
      <c r="J146" s="1405">
        <f t="shared" si="21"/>
        <v>424.8</v>
      </c>
      <c r="K146" s="1405">
        <f t="shared" si="21"/>
        <v>424.8</v>
      </c>
      <c r="L146" s="1405">
        <f t="shared" si="21"/>
        <v>424.8</v>
      </c>
      <c r="M146" s="1405">
        <f t="shared" si="22"/>
        <v>467.28000000000003</v>
      </c>
      <c r="N146" s="1403">
        <f t="shared" si="23"/>
        <v>467.28000000000003</v>
      </c>
      <c r="O146" s="1403">
        <f t="shared" si="23"/>
        <v>467.28000000000003</v>
      </c>
      <c r="P146" s="1403">
        <f t="shared" si="23"/>
        <v>467.28000000000003</v>
      </c>
      <c r="Q146" s="1403">
        <v>467.28000000000003</v>
      </c>
      <c r="R146" s="25"/>
    </row>
    <row r="147" spans="1:18" ht="17.25">
      <c r="A147" s="608">
        <f t="shared" si="24"/>
        <v>16.060000000000009</v>
      </c>
      <c r="B147" s="24" t="s">
        <v>530</v>
      </c>
      <c r="C147" s="37" t="s">
        <v>519</v>
      </c>
      <c r="D147" s="75"/>
      <c r="E147" s="77"/>
      <c r="F147" s="77"/>
      <c r="G147" s="77"/>
      <c r="H147" s="1417">
        <v>537</v>
      </c>
      <c r="I147" s="1405">
        <v>537</v>
      </c>
      <c r="J147" s="1405">
        <f t="shared" si="21"/>
        <v>537</v>
      </c>
      <c r="K147" s="1405">
        <f t="shared" si="21"/>
        <v>537</v>
      </c>
      <c r="L147" s="1405">
        <f t="shared" si="21"/>
        <v>537</v>
      </c>
      <c r="M147" s="1405">
        <f t="shared" si="22"/>
        <v>590.70000000000005</v>
      </c>
      <c r="N147" s="1403">
        <f t="shared" si="23"/>
        <v>590.70000000000005</v>
      </c>
      <c r="O147" s="1403">
        <f t="shared" si="23"/>
        <v>590.70000000000005</v>
      </c>
      <c r="P147" s="1403">
        <f t="shared" si="23"/>
        <v>590.70000000000005</v>
      </c>
      <c r="Q147" s="1403">
        <v>590.70000000000005</v>
      </c>
      <c r="R147" s="25"/>
    </row>
    <row r="148" spans="1:18" ht="17.25">
      <c r="A148" s="608">
        <f t="shared" si="24"/>
        <v>16.070000000000011</v>
      </c>
      <c r="B148" s="24" t="s">
        <v>531</v>
      </c>
      <c r="C148" s="37" t="s">
        <v>519</v>
      </c>
      <c r="D148" s="75"/>
      <c r="E148" s="77"/>
      <c r="F148" s="77"/>
      <c r="G148" s="77"/>
      <c r="H148" s="1417">
        <v>746.35</v>
      </c>
      <c r="I148" s="1405">
        <v>746.35</v>
      </c>
      <c r="J148" s="1405">
        <f t="shared" si="21"/>
        <v>746.35</v>
      </c>
      <c r="K148" s="1405">
        <f t="shared" si="21"/>
        <v>746.35</v>
      </c>
      <c r="L148" s="1405">
        <f t="shared" si="21"/>
        <v>746.35</v>
      </c>
      <c r="M148" s="1405">
        <f t="shared" si="22"/>
        <v>820.98500000000013</v>
      </c>
      <c r="N148" s="1403">
        <f t="shared" si="23"/>
        <v>820.98500000000013</v>
      </c>
      <c r="O148" s="1403">
        <f t="shared" si="23"/>
        <v>820.98500000000013</v>
      </c>
      <c r="P148" s="1403">
        <f t="shared" si="23"/>
        <v>820.98500000000013</v>
      </c>
      <c r="Q148" s="1403">
        <v>820.98500000000013</v>
      </c>
      <c r="R148" s="25"/>
    </row>
    <row r="149" spans="1:18" ht="17.25">
      <c r="A149" s="608">
        <f t="shared" si="24"/>
        <v>16.080000000000013</v>
      </c>
      <c r="B149" s="24" t="s">
        <v>532</v>
      </c>
      <c r="C149" s="37" t="s">
        <v>519</v>
      </c>
      <c r="D149" s="75"/>
      <c r="E149" s="77"/>
      <c r="F149" s="77"/>
      <c r="G149" s="77"/>
      <c r="H149" s="1417">
        <v>877.1</v>
      </c>
      <c r="I149" s="1405">
        <v>877.1</v>
      </c>
      <c r="J149" s="1405">
        <f t="shared" si="21"/>
        <v>877.1</v>
      </c>
      <c r="K149" s="1405">
        <f t="shared" si="21"/>
        <v>877.1</v>
      </c>
      <c r="L149" s="1405">
        <f t="shared" si="21"/>
        <v>877.1</v>
      </c>
      <c r="M149" s="1405">
        <f t="shared" si="22"/>
        <v>964.81000000000006</v>
      </c>
      <c r="N149" s="1403">
        <f t="shared" si="23"/>
        <v>964.81000000000006</v>
      </c>
      <c r="O149" s="1403">
        <f t="shared" si="23"/>
        <v>964.81000000000006</v>
      </c>
      <c r="P149" s="1403">
        <f t="shared" si="23"/>
        <v>964.81000000000006</v>
      </c>
      <c r="Q149" s="1403">
        <v>964.81000000000006</v>
      </c>
      <c r="R149" s="25"/>
    </row>
    <row r="150" spans="1:18" ht="17.25">
      <c r="A150" s="608">
        <f t="shared" si="24"/>
        <v>16.090000000000014</v>
      </c>
      <c r="B150" s="50" t="s">
        <v>533</v>
      </c>
      <c r="C150" s="37" t="s">
        <v>519</v>
      </c>
      <c r="D150" s="75"/>
      <c r="E150" s="77"/>
      <c r="F150" s="77"/>
      <c r="G150" s="77"/>
      <c r="H150" s="1417">
        <v>1265.5</v>
      </c>
      <c r="I150" s="1405">
        <v>1265.5</v>
      </c>
      <c r="J150" s="1405">
        <f t="shared" si="21"/>
        <v>1265.5</v>
      </c>
      <c r="K150" s="1405">
        <f t="shared" si="21"/>
        <v>1265.5</v>
      </c>
      <c r="L150" s="1405">
        <f t="shared" si="21"/>
        <v>1265.5</v>
      </c>
      <c r="M150" s="1405">
        <f t="shared" si="22"/>
        <v>1392.0500000000002</v>
      </c>
      <c r="N150" s="1403">
        <f t="shared" si="23"/>
        <v>1392.0500000000002</v>
      </c>
      <c r="O150" s="1403">
        <f t="shared" si="23"/>
        <v>1392.0500000000002</v>
      </c>
      <c r="P150" s="1403">
        <f t="shared" si="23"/>
        <v>1392.0500000000002</v>
      </c>
      <c r="Q150" s="1403">
        <v>1392.0500000000002</v>
      </c>
      <c r="R150" s="25"/>
    </row>
    <row r="151" spans="1:18" ht="17.25">
      <c r="A151" s="608">
        <f t="shared" si="24"/>
        <v>16.100000000000016</v>
      </c>
      <c r="B151" s="50" t="s">
        <v>546</v>
      </c>
      <c r="C151" s="37" t="s">
        <v>519</v>
      </c>
      <c r="D151" s="75"/>
      <c r="E151" s="77"/>
      <c r="F151" s="77"/>
      <c r="G151" s="77"/>
      <c r="H151" s="1417">
        <v>1930.7</v>
      </c>
      <c r="I151" s="1405">
        <v>1930.7</v>
      </c>
      <c r="J151" s="1405">
        <f t="shared" si="21"/>
        <v>1930.7</v>
      </c>
      <c r="K151" s="1405">
        <f t="shared" si="21"/>
        <v>1930.7</v>
      </c>
      <c r="L151" s="1405">
        <f t="shared" si="21"/>
        <v>1930.7</v>
      </c>
      <c r="M151" s="1405">
        <f t="shared" si="22"/>
        <v>2123.7700000000004</v>
      </c>
      <c r="N151" s="1403">
        <f t="shared" si="23"/>
        <v>2123.7700000000004</v>
      </c>
      <c r="O151" s="1403">
        <f t="shared" si="23"/>
        <v>2123.7700000000004</v>
      </c>
      <c r="P151" s="1403">
        <f t="shared" si="23"/>
        <v>2123.7700000000004</v>
      </c>
      <c r="Q151" s="1403">
        <v>2123.7700000000004</v>
      </c>
      <c r="R151" s="25"/>
    </row>
    <row r="152" spans="1:18" ht="17.25">
      <c r="A152" s="608">
        <f t="shared" si="24"/>
        <v>16.110000000000017</v>
      </c>
      <c r="B152" s="71" t="s">
        <v>547</v>
      </c>
      <c r="C152" s="37" t="s">
        <v>519</v>
      </c>
      <c r="D152" s="75"/>
      <c r="E152" s="77"/>
      <c r="F152" s="77"/>
      <c r="G152" s="77"/>
      <c r="H152" s="1417">
        <v>2291.4</v>
      </c>
      <c r="I152" s="1405">
        <v>2291.4</v>
      </c>
      <c r="J152" s="1405">
        <f t="shared" si="21"/>
        <v>2291.4</v>
      </c>
      <c r="K152" s="1405">
        <f t="shared" si="21"/>
        <v>2291.4</v>
      </c>
      <c r="L152" s="1405">
        <f t="shared" si="21"/>
        <v>2291.4</v>
      </c>
      <c r="M152" s="1405">
        <f t="shared" si="22"/>
        <v>2520.5400000000004</v>
      </c>
      <c r="N152" s="1403">
        <f t="shared" si="23"/>
        <v>2520.5400000000004</v>
      </c>
      <c r="O152" s="1403">
        <f t="shared" si="23"/>
        <v>2520.5400000000004</v>
      </c>
      <c r="P152" s="1403">
        <f t="shared" si="23"/>
        <v>2520.5400000000004</v>
      </c>
      <c r="Q152" s="1403">
        <v>2520.5400000000004</v>
      </c>
      <c r="R152" s="25"/>
    </row>
    <row r="153" spans="1:18" ht="15" customHeight="1">
      <c r="A153" s="392">
        <v>17</v>
      </c>
      <c r="B153" s="491" t="s">
        <v>551</v>
      </c>
      <c r="C153" s="445"/>
      <c r="D153" s="1416"/>
      <c r="E153" s="492"/>
      <c r="F153" s="492"/>
      <c r="G153" s="492"/>
      <c r="H153" s="492"/>
      <c r="I153" s="1408"/>
      <c r="J153" s="1408"/>
      <c r="K153" s="1408"/>
      <c r="L153" s="1408"/>
      <c r="M153" s="1408"/>
      <c r="N153" s="1407"/>
      <c r="O153" s="1407"/>
      <c r="P153" s="1407"/>
      <c r="Q153" s="1407"/>
      <c r="R153" s="330"/>
    </row>
    <row r="154" spans="1:18" ht="17.25">
      <c r="A154" s="608">
        <f>A153+0.01</f>
        <v>17.010000000000002</v>
      </c>
      <c r="B154" s="24" t="s">
        <v>525</v>
      </c>
      <c r="C154" s="37" t="s">
        <v>519</v>
      </c>
      <c r="D154" s="75"/>
      <c r="E154" s="77"/>
      <c r="F154" s="77"/>
      <c r="G154" s="77"/>
      <c r="H154" s="1417">
        <v>15</v>
      </c>
      <c r="I154" s="1405">
        <v>15</v>
      </c>
      <c r="J154" s="1405">
        <f t="shared" si="21"/>
        <v>15</v>
      </c>
      <c r="K154" s="1405">
        <f t="shared" si="21"/>
        <v>15</v>
      </c>
      <c r="L154" s="1405">
        <f t="shared" si="21"/>
        <v>15</v>
      </c>
      <c r="M154" s="1405">
        <f t="shared" si="22"/>
        <v>16.5</v>
      </c>
      <c r="N154" s="1403">
        <f t="shared" si="23"/>
        <v>16.5</v>
      </c>
      <c r="O154" s="1403">
        <f t="shared" si="23"/>
        <v>16.5</v>
      </c>
      <c r="P154" s="1403">
        <f t="shared" si="23"/>
        <v>16.5</v>
      </c>
      <c r="Q154" s="1403">
        <v>16.5</v>
      </c>
      <c r="R154" s="25"/>
    </row>
    <row r="155" spans="1:18" ht="17.25">
      <c r="A155" s="608">
        <f t="shared" ref="A155:A162" si="25">A154+0.01</f>
        <v>17.020000000000003</v>
      </c>
      <c r="B155" s="24" t="s">
        <v>526</v>
      </c>
      <c r="C155" s="37" t="s">
        <v>519</v>
      </c>
      <c r="D155" s="75"/>
      <c r="E155" s="77"/>
      <c r="F155" s="77"/>
      <c r="G155" s="77"/>
      <c r="H155" s="1417">
        <v>25</v>
      </c>
      <c r="I155" s="1405">
        <v>25</v>
      </c>
      <c r="J155" s="1405">
        <f t="shared" si="21"/>
        <v>25</v>
      </c>
      <c r="K155" s="1405">
        <f t="shared" si="21"/>
        <v>25</v>
      </c>
      <c r="L155" s="1405">
        <f t="shared" si="21"/>
        <v>25</v>
      </c>
      <c r="M155" s="1405">
        <f t="shared" si="22"/>
        <v>27.500000000000004</v>
      </c>
      <c r="N155" s="1403">
        <f t="shared" si="23"/>
        <v>27.500000000000004</v>
      </c>
      <c r="O155" s="1403">
        <f t="shared" si="23"/>
        <v>27.500000000000004</v>
      </c>
      <c r="P155" s="1403">
        <f t="shared" si="23"/>
        <v>27.500000000000004</v>
      </c>
      <c r="Q155" s="1403">
        <v>27.500000000000004</v>
      </c>
      <c r="R155" s="25"/>
    </row>
    <row r="156" spans="1:18" ht="17.25">
      <c r="A156" s="608">
        <f t="shared" si="25"/>
        <v>17.030000000000005</v>
      </c>
      <c r="B156" s="24" t="s">
        <v>527</v>
      </c>
      <c r="C156" s="37" t="s">
        <v>519</v>
      </c>
      <c r="D156" s="75"/>
      <c r="E156" s="77"/>
      <c r="F156" s="77"/>
      <c r="G156" s="77"/>
      <c r="H156" s="1417">
        <v>35</v>
      </c>
      <c r="I156" s="1405">
        <v>35</v>
      </c>
      <c r="J156" s="1405">
        <f t="shared" si="21"/>
        <v>35</v>
      </c>
      <c r="K156" s="1405">
        <f t="shared" si="21"/>
        <v>35</v>
      </c>
      <c r="L156" s="1405">
        <f t="shared" si="21"/>
        <v>35</v>
      </c>
      <c r="M156" s="1405">
        <f t="shared" si="22"/>
        <v>38.5</v>
      </c>
      <c r="N156" s="1403">
        <f t="shared" si="23"/>
        <v>38.5</v>
      </c>
      <c r="O156" s="1403">
        <f t="shared" si="23"/>
        <v>38.5</v>
      </c>
      <c r="P156" s="1403">
        <f t="shared" si="23"/>
        <v>38.5</v>
      </c>
      <c r="Q156" s="1403">
        <v>38.5</v>
      </c>
      <c r="R156" s="25"/>
    </row>
    <row r="157" spans="1:18" ht="17.25">
      <c r="A157" s="608">
        <f t="shared" si="25"/>
        <v>17.040000000000006</v>
      </c>
      <c r="B157" s="24" t="s">
        <v>528</v>
      </c>
      <c r="C157" s="37" t="s">
        <v>519</v>
      </c>
      <c r="D157" s="75"/>
      <c r="E157" s="77"/>
      <c r="F157" s="77"/>
      <c r="G157" s="77"/>
      <c r="H157" s="1417">
        <v>50</v>
      </c>
      <c r="I157" s="1405">
        <v>50</v>
      </c>
      <c r="J157" s="1405">
        <f t="shared" si="21"/>
        <v>50</v>
      </c>
      <c r="K157" s="1405">
        <f t="shared" si="21"/>
        <v>50</v>
      </c>
      <c r="L157" s="1405">
        <f t="shared" si="21"/>
        <v>50</v>
      </c>
      <c r="M157" s="1405">
        <f t="shared" si="22"/>
        <v>55.000000000000007</v>
      </c>
      <c r="N157" s="1403">
        <f t="shared" si="23"/>
        <v>55.000000000000007</v>
      </c>
      <c r="O157" s="1403">
        <f t="shared" si="23"/>
        <v>55.000000000000007</v>
      </c>
      <c r="P157" s="1403">
        <f t="shared" si="23"/>
        <v>55.000000000000007</v>
      </c>
      <c r="Q157" s="1403">
        <v>55.000000000000007</v>
      </c>
      <c r="R157" s="25"/>
    </row>
    <row r="158" spans="1:18" ht="17.25">
      <c r="A158" s="608">
        <f t="shared" si="25"/>
        <v>17.050000000000008</v>
      </c>
      <c r="B158" s="24" t="s">
        <v>529</v>
      </c>
      <c r="C158" s="37" t="s">
        <v>519</v>
      </c>
      <c r="D158" s="166"/>
      <c r="E158" s="1405"/>
      <c r="F158" s="1405"/>
      <c r="G158" s="1405"/>
      <c r="H158" s="1404">
        <v>75</v>
      </c>
      <c r="I158" s="1405">
        <v>75</v>
      </c>
      <c r="J158" s="1405">
        <f t="shared" si="21"/>
        <v>75</v>
      </c>
      <c r="K158" s="1405">
        <f t="shared" si="21"/>
        <v>75</v>
      </c>
      <c r="L158" s="1405">
        <f t="shared" si="21"/>
        <v>75</v>
      </c>
      <c r="M158" s="1405">
        <f t="shared" si="22"/>
        <v>82.5</v>
      </c>
      <c r="N158" s="1403">
        <f t="shared" si="23"/>
        <v>82.5</v>
      </c>
      <c r="O158" s="1403">
        <f t="shared" si="23"/>
        <v>82.5</v>
      </c>
      <c r="P158" s="1403">
        <f t="shared" si="23"/>
        <v>82.5</v>
      </c>
      <c r="Q158" s="1403">
        <v>82.5</v>
      </c>
      <c r="R158" s="25"/>
    </row>
    <row r="159" spans="1:18" ht="17.25">
      <c r="A159" s="608">
        <f t="shared" si="25"/>
        <v>17.060000000000009</v>
      </c>
      <c r="B159" s="24" t="s">
        <v>530</v>
      </c>
      <c r="C159" s="37" t="s">
        <v>519</v>
      </c>
      <c r="D159" s="166"/>
      <c r="E159" s="1405"/>
      <c r="F159" s="1405"/>
      <c r="G159" s="1405"/>
      <c r="H159" s="1404">
        <v>120</v>
      </c>
      <c r="I159" s="1405">
        <v>120</v>
      </c>
      <c r="J159" s="1405">
        <f t="shared" si="21"/>
        <v>120</v>
      </c>
      <c r="K159" s="1405">
        <f t="shared" si="21"/>
        <v>120</v>
      </c>
      <c r="L159" s="1405">
        <f t="shared" si="21"/>
        <v>120</v>
      </c>
      <c r="M159" s="1405">
        <f t="shared" si="22"/>
        <v>132</v>
      </c>
      <c r="N159" s="1403">
        <f t="shared" si="23"/>
        <v>132</v>
      </c>
      <c r="O159" s="1403">
        <f t="shared" si="23"/>
        <v>132</v>
      </c>
      <c r="P159" s="1403">
        <f t="shared" si="23"/>
        <v>132</v>
      </c>
      <c r="Q159" s="1403">
        <v>132</v>
      </c>
      <c r="R159" s="25"/>
    </row>
    <row r="160" spans="1:18" ht="17.25">
      <c r="A160" s="608">
        <f t="shared" si="25"/>
        <v>17.070000000000011</v>
      </c>
      <c r="B160" s="24" t="s">
        <v>531</v>
      </c>
      <c r="C160" s="37" t="s">
        <v>519</v>
      </c>
      <c r="D160" s="166"/>
      <c r="E160" s="1405"/>
      <c r="F160" s="1405"/>
      <c r="G160" s="1405"/>
      <c r="H160" s="1404">
        <v>150</v>
      </c>
      <c r="I160" s="1405">
        <v>150</v>
      </c>
      <c r="J160" s="1405">
        <f t="shared" si="21"/>
        <v>150</v>
      </c>
      <c r="K160" s="1405">
        <f t="shared" si="21"/>
        <v>150</v>
      </c>
      <c r="L160" s="1405">
        <f t="shared" si="21"/>
        <v>150</v>
      </c>
      <c r="M160" s="1405">
        <f t="shared" si="22"/>
        <v>165</v>
      </c>
      <c r="N160" s="1403">
        <f t="shared" si="23"/>
        <v>165</v>
      </c>
      <c r="O160" s="1403">
        <f t="shared" si="23"/>
        <v>165</v>
      </c>
      <c r="P160" s="1403">
        <f t="shared" si="23"/>
        <v>165</v>
      </c>
      <c r="Q160" s="1403">
        <v>165</v>
      </c>
      <c r="R160" s="25"/>
    </row>
    <row r="161" spans="1:18" ht="17.25">
      <c r="A161" s="608">
        <f t="shared" si="25"/>
        <v>17.080000000000013</v>
      </c>
      <c r="B161" s="24" t="s">
        <v>532</v>
      </c>
      <c r="C161" s="37" t="s">
        <v>519</v>
      </c>
      <c r="D161" s="166"/>
      <c r="E161" s="1405"/>
      <c r="F161" s="1405"/>
      <c r="G161" s="1405"/>
      <c r="H161" s="1404">
        <v>220</v>
      </c>
      <c r="I161" s="1405">
        <v>220</v>
      </c>
      <c r="J161" s="1405">
        <f t="shared" si="21"/>
        <v>220</v>
      </c>
      <c r="K161" s="1405">
        <f t="shared" si="21"/>
        <v>220</v>
      </c>
      <c r="L161" s="1405">
        <f t="shared" si="21"/>
        <v>220</v>
      </c>
      <c r="M161" s="1405">
        <f t="shared" si="22"/>
        <v>242.00000000000003</v>
      </c>
      <c r="N161" s="1403">
        <f t="shared" si="23"/>
        <v>242.00000000000003</v>
      </c>
      <c r="O161" s="1403">
        <f t="shared" si="23"/>
        <v>242.00000000000003</v>
      </c>
      <c r="P161" s="1403">
        <f t="shared" si="23"/>
        <v>242.00000000000003</v>
      </c>
      <c r="Q161" s="1403">
        <v>242.00000000000003</v>
      </c>
      <c r="R161" s="25"/>
    </row>
    <row r="162" spans="1:18" ht="17.25">
      <c r="A162" s="608">
        <f t="shared" si="25"/>
        <v>17.090000000000014</v>
      </c>
      <c r="B162" s="50" t="s">
        <v>533</v>
      </c>
      <c r="C162" s="37" t="s">
        <v>519</v>
      </c>
      <c r="D162" s="166"/>
      <c r="E162" s="1405"/>
      <c r="F162" s="1405"/>
      <c r="G162" s="1405"/>
      <c r="H162" s="1404">
        <v>450</v>
      </c>
      <c r="I162" s="1405">
        <v>450</v>
      </c>
      <c r="J162" s="1405">
        <f t="shared" si="21"/>
        <v>450</v>
      </c>
      <c r="K162" s="1405">
        <f t="shared" si="21"/>
        <v>450</v>
      </c>
      <c r="L162" s="1405">
        <f t="shared" si="21"/>
        <v>450</v>
      </c>
      <c r="M162" s="1405">
        <f t="shared" si="22"/>
        <v>495.00000000000006</v>
      </c>
      <c r="N162" s="1403">
        <f t="shared" si="23"/>
        <v>495.00000000000006</v>
      </c>
      <c r="O162" s="1403">
        <f t="shared" si="23"/>
        <v>495.00000000000006</v>
      </c>
      <c r="P162" s="1403">
        <f t="shared" si="23"/>
        <v>495.00000000000006</v>
      </c>
      <c r="Q162" s="1403">
        <v>495.00000000000006</v>
      </c>
      <c r="R162" s="25"/>
    </row>
    <row r="163" spans="1:18" ht="15" customHeight="1">
      <c r="A163" s="383">
        <v>18</v>
      </c>
      <c r="B163" s="584" t="s">
        <v>552</v>
      </c>
      <c r="C163" s="466"/>
      <c r="D163" s="1414"/>
      <c r="E163" s="1413"/>
      <c r="F163" s="1413"/>
      <c r="G163" s="1413"/>
      <c r="H163" s="1413"/>
      <c r="I163" s="1413"/>
      <c r="J163" s="1413"/>
      <c r="K163" s="1413"/>
      <c r="L163" s="1413"/>
      <c r="M163" s="1413"/>
      <c r="N163" s="1412"/>
      <c r="O163" s="1412"/>
      <c r="P163" s="1412"/>
      <c r="Q163" s="1412"/>
      <c r="R163" s="328"/>
    </row>
    <row r="164" spans="1:18" ht="15" customHeight="1">
      <c r="A164" s="608">
        <f>A163+0.01</f>
        <v>18.010000000000002</v>
      </c>
      <c r="B164" s="24" t="s">
        <v>525</v>
      </c>
      <c r="C164" s="37" t="s">
        <v>519</v>
      </c>
      <c r="D164" s="166"/>
      <c r="E164" s="1405"/>
      <c r="F164" s="1405"/>
      <c r="G164" s="1405"/>
      <c r="H164" s="1404">
        <v>900</v>
      </c>
      <c r="I164" s="1405">
        <v>900</v>
      </c>
      <c r="J164" s="1405">
        <f t="shared" si="21"/>
        <v>900</v>
      </c>
      <c r="K164" s="1405">
        <f t="shared" si="21"/>
        <v>900</v>
      </c>
      <c r="L164" s="1405">
        <f t="shared" si="21"/>
        <v>900</v>
      </c>
      <c r="M164" s="1405">
        <f t="shared" si="22"/>
        <v>990.00000000000011</v>
      </c>
      <c r="N164" s="1403">
        <f t="shared" si="23"/>
        <v>990.00000000000011</v>
      </c>
      <c r="O164" s="1403">
        <f t="shared" si="23"/>
        <v>990.00000000000011</v>
      </c>
      <c r="P164" s="1403">
        <f t="shared" si="23"/>
        <v>990.00000000000011</v>
      </c>
      <c r="Q164" s="1403">
        <v>990.00000000000011</v>
      </c>
      <c r="R164" s="25"/>
    </row>
    <row r="165" spans="1:18" ht="15" customHeight="1">
      <c r="A165" s="608">
        <f t="shared" ref="A165:A171" si="26">A164+0.01</f>
        <v>18.020000000000003</v>
      </c>
      <c r="B165" s="24" t="s">
        <v>526</v>
      </c>
      <c r="C165" s="37" t="s">
        <v>519</v>
      </c>
      <c r="D165" s="166"/>
      <c r="E165" s="1405"/>
      <c r="F165" s="1405"/>
      <c r="G165" s="1405"/>
      <c r="H165" s="1404">
        <v>1275</v>
      </c>
      <c r="I165" s="1405">
        <v>1275</v>
      </c>
      <c r="J165" s="1405">
        <f t="shared" si="21"/>
        <v>1275</v>
      </c>
      <c r="K165" s="1405">
        <f t="shared" si="21"/>
        <v>1275</v>
      </c>
      <c r="L165" s="1405">
        <f t="shared" si="21"/>
        <v>1275</v>
      </c>
      <c r="M165" s="1405">
        <f t="shared" si="22"/>
        <v>1402.5</v>
      </c>
      <c r="N165" s="1403">
        <f t="shared" si="23"/>
        <v>1402.5</v>
      </c>
      <c r="O165" s="1403">
        <f t="shared" si="23"/>
        <v>1402.5</v>
      </c>
      <c r="P165" s="1403">
        <f t="shared" si="23"/>
        <v>1402.5</v>
      </c>
      <c r="Q165" s="1403">
        <v>1402.5</v>
      </c>
      <c r="R165" s="25"/>
    </row>
    <row r="166" spans="1:18" ht="15" customHeight="1">
      <c r="A166" s="608">
        <f t="shared" si="26"/>
        <v>18.030000000000005</v>
      </c>
      <c r="B166" s="24" t="s">
        <v>527</v>
      </c>
      <c r="C166" s="37" t="s">
        <v>519</v>
      </c>
      <c r="D166" s="166"/>
      <c r="E166" s="1405"/>
      <c r="F166" s="1405"/>
      <c r="G166" s="1405"/>
      <c r="H166" s="1404">
        <v>1850</v>
      </c>
      <c r="I166" s="1405">
        <v>1850</v>
      </c>
      <c r="J166" s="1405">
        <f t="shared" si="21"/>
        <v>1850</v>
      </c>
      <c r="K166" s="1405">
        <f t="shared" si="21"/>
        <v>1850</v>
      </c>
      <c r="L166" s="1405">
        <f t="shared" si="21"/>
        <v>1850</v>
      </c>
      <c r="M166" s="1405">
        <f t="shared" si="22"/>
        <v>2035.0000000000002</v>
      </c>
      <c r="N166" s="1403">
        <f t="shared" si="23"/>
        <v>2035.0000000000002</v>
      </c>
      <c r="O166" s="1403">
        <f t="shared" si="23"/>
        <v>2035.0000000000002</v>
      </c>
      <c r="P166" s="1403">
        <f t="shared" si="23"/>
        <v>2035.0000000000002</v>
      </c>
      <c r="Q166" s="1403">
        <v>2035.0000000000002</v>
      </c>
      <c r="R166" s="25"/>
    </row>
    <row r="167" spans="1:18" ht="15" customHeight="1">
      <c r="A167" s="608">
        <f t="shared" si="26"/>
        <v>18.040000000000006</v>
      </c>
      <c r="B167" s="24" t="s">
        <v>528</v>
      </c>
      <c r="C167" s="37" t="s">
        <v>519</v>
      </c>
      <c r="D167" s="166"/>
      <c r="E167" s="1405"/>
      <c r="F167" s="1405"/>
      <c r="G167" s="1405"/>
      <c r="H167" s="1404">
        <v>2550</v>
      </c>
      <c r="I167" s="1405">
        <v>2550</v>
      </c>
      <c r="J167" s="1405">
        <f t="shared" si="21"/>
        <v>2550</v>
      </c>
      <c r="K167" s="1405">
        <f t="shared" si="21"/>
        <v>2550</v>
      </c>
      <c r="L167" s="1405">
        <f t="shared" si="21"/>
        <v>2550</v>
      </c>
      <c r="M167" s="1405">
        <f t="shared" si="22"/>
        <v>2805</v>
      </c>
      <c r="N167" s="1403">
        <f t="shared" si="23"/>
        <v>2805</v>
      </c>
      <c r="O167" s="1403">
        <f t="shared" si="23"/>
        <v>2805</v>
      </c>
      <c r="P167" s="1403">
        <f t="shared" si="23"/>
        <v>2805</v>
      </c>
      <c r="Q167" s="1403">
        <v>2805</v>
      </c>
      <c r="R167" s="25"/>
    </row>
    <row r="168" spans="1:18" ht="15" customHeight="1">
      <c r="A168" s="608">
        <f t="shared" si="26"/>
        <v>18.050000000000008</v>
      </c>
      <c r="B168" s="24" t="s">
        <v>529</v>
      </c>
      <c r="C168" s="37" t="s">
        <v>519</v>
      </c>
      <c r="D168" s="166"/>
      <c r="E168" s="1405"/>
      <c r="F168" s="1405"/>
      <c r="G168" s="1405"/>
      <c r="H168" s="1404">
        <v>4250</v>
      </c>
      <c r="I168" s="1405">
        <v>4250</v>
      </c>
      <c r="J168" s="1405">
        <f t="shared" si="21"/>
        <v>4250</v>
      </c>
      <c r="K168" s="1405">
        <f t="shared" si="21"/>
        <v>4250</v>
      </c>
      <c r="L168" s="1405">
        <f t="shared" si="21"/>
        <v>4250</v>
      </c>
      <c r="M168" s="1405">
        <f t="shared" si="22"/>
        <v>4675</v>
      </c>
      <c r="N168" s="1403">
        <f t="shared" si="23"/>
        <v>4675</v>
      </c>
      <c r="O168" s="1403">
        <f t="shared" si="23"/>
        <v>4675</v>
      </c>
      <c r="P168" s="1403">
        <f t="shared" si="23"/>
        <v>4675</v>
      </c>
      <c r="Q168" s="1403">
        <v>4675</v>
      </c>
      <c r="R168" s="25"/>
    </row>
    <row r="169" spans="1:18" ht="15" customHeight="1">
      <c r="A169" s="608">
        <f t="shared" si="26"/>
        <v>18.060000000000009</v>
      </c>
      <c r="B169" s="24" t="s">
        <v>530</v>
      </c>
      <c r="C169" s="37" t="s">
        <v>519</v>
      </c>
      <c r="D169" s="166"/>
      <c r="E169" s="1405"/>
      <c r="F169" s="1405"/>
      <c r="G169" s="1405"/>
      <c r="H169" s="1404">
        <v>6300</v>
      </c>
      <c r="I169" s="1405">
        <v>6300</v>
      </c>
      <c r="J169" s="1405">
        <f t="shared" si="21"/>
        <v>6300</v>
      </c>
      <c r="K169" s="1405">
        <f t="shared" si="21"/>
        <v>6300</v>
      </c>
      <c r="L169" s="1405">
        <f t="shared" si="21"/>
        <v>6300</v>
      </c>
      <c r="M169" s="1405">
        <f t="shared" si="22"/>
        <v>6930.0000000000009</v>
      </c>
      <c r="N169" s="1403">
        <f t="shared" si="23"/>
        <v>6930.0000000000009</v>
      </c>
      <c r="O169" s="1403">
        <f t="shared" si="23"/>
        <v>6930.0000000000009</v>
      </c>
      <c r="P169" s="1403">
        <f t="shared" si="23"/>
        <v>6930.0000000000009</v>
      </c>
      <c r="Q169" s="1403">
        <v>6930.0000000000009</v>
      </c>
      <c r="R169" s="25"/>
    </row>
    <row r="170" spans="1:18" ht="15" customHeight="1">
      <c r="A170" s="608">
        <f t="shared" si="26"/>
        <v>18.070000000000011</v>
      </c>
      <c r="B170" s="24" t="s">
        <v>531</v>
      </c>
      <c r="C170" s="37" t="s">
        <v>519</v>
      </c>
      <c r="D170" s="166"/>
      <c r="E170" s="1405"/>
      <c r="F170" s="1405"/>
      <c r="G170" s="1405"/>
      <c r="H170" s="1404">
        <v>13220</v>
      </c>
      <c r="I170" s="1405">
        <v>13220</v>
      </c>
      <c r="J170" s="1405">
        <f t="shared" si="21"/>
        <v>13220</v>
      </c>
      <c r="K170" s="1405">
        <f t="shared" si="21"/>
        <v>13220</v>
      </c>
      <c r="L170" s="1405">
        <f t="shared" si="21"/>
        <v>13220</v>
      </c>
      <c r="M170" s="1405">
        <f t="shared" si="22"/>
        <v>14542.000000000002</v>
      </c>
      <c r="N170" s="1403">
        <f t="shared" si="23"/>
        <v>14542.000000000002</v>
      </c>
      <c r="O170" s="1403">
        <f t="shared" si="23"/>
        <v>14542.000000000002</v>
      </c>
      <c r="P170" s="1403">
        <f t="shared" si="23"/>
        <v>14542.000000000002</v>
      </c>
      <c r="Q170" s="1403">
        <v>14542.000000000002</v>
      </c>
      <c r="R170" s="25"/>
    </row>
    <row r="171" spans="1:18" ht="15" customHeight="1">
      <c r="A171" s="608">
        <f t="shared" si="26"/>
        <v>18.080000000000013</v>
      </c>
      <c r="B171" s="24" t="s">
        <v>532</v>
      </c>
      <c r="C171" s="37" t="s">
        <v>519</v>
      </c>
      <c r="D171" s="1415"/>
      <c r="E171" s="1411"/>
      <c r="F171" s="1411"/>
      <c r="G171" s="1411"/>
      <c r="H171" s="1404">
        <v>20615</v>
      </c>
      <c r="I171" s="1405">
        <v>20615</v>
      </c>
      <c r="J171" s="1405">
        <f t="shared" si="21"/>
        <v>20615</v>
      </c>
      <c r="K171" s="1405">
        <f t="shared" si="21"/>
        <v>20615</v>
      </c>
      <c r="L171" s="1405">
        <f t="shared" si="21"/>
        <v>20615</v>
      </c>
      <c r="M171" s="1405">
        <f t="shared" si="22"/>
        <v>22676.500000000004</v>
      </c>
      <c r="N171" s="1403">
        <f t="shared" si="23"/>
        <v>22676.500000000004</v>
      </c>
      <c r="O171" s="1403">
        <f t="shared" si="23"/>
        <v>22676.500000000004</v>
      </c>
      <c r="P171" s="1403">
        <f t="shared" si="23"/>
        <v>22676.500000000004</v>
      </c>
      <c r="Q171" s="1403">
        <v>22676.500000000004</v>
      </c>
      <c r="R171" s="25"/>
    </row>
    <row r="172" spans="1:18" ht="15" customHeight="1">
      <c r="A172" s="585">
        <v>19</v>
      </c>
      <c r="B172" s="584" t="s">
        <v>553</v>
      </c>
      <c r="C172" s="445"/>
      <c r="D172" s="1416"/>
      <c r="E172" s="1408"/>
      <c r="F172" s="1408"/>
      <c r="G172" s="1408"/>
      <c r="H172" s="1408"/>
      <c r="I172" s="1408"/>
      <c r="J172" s="1408"/>
      <c r="K172" s="1408"/>
      <c r="L172" s="1408"/>
      <c r="M172" s="1408"/>
      <c r="N172" s="1407"/>
      <c r="O172" s="1407"/>
      <c r="P172" s="1407"/>
      <c r="Q172" s="1407"/>
      <c r="R172" s="330"/>
    </row>
    <row r="173" spans="1:18" ht="17.25">
      <c r="A173" s="608">
        <f>A172+0.01</f>
        <v>19.010000000000002</v>
      </c>
      <c r="B173" s="24" t="s">
        <v>525</v>
      </c>
      <c r="C173" s="37" t="s">
        <v>519</v>
      </c>
      <c r="D173" s="75"/>
      <c r="E173" s="1404"/>
      <c r="F173" s="1404"/>
      <c r="G173" s="1404"/>
      <c r="H173" s="1404">
        <v>850</v>
      </c>
      <c r="I173" s="1405">
        <v>850</v>
      </c>
      <c r="J173" s="1405">
        <f t="shared" si="21"/>
        <v>850</v>
      </c>
      <c r="K173" s="1405">
        <f t="shared" si="21"/>
        <v>850</v>
      </c>
      <c r="L173" s="1405">
        <f t="shared" si="21"/>
        <v>850</v>
      </c>
      <c r="M173" s="1405">
        <f t="shared" si="22"/>
        <v>935.00000000000011</v>
      </c>
      <c r="N173" s="1403">
        <f t="shared" si="23"/>
        <v>935.00000000000011</v>
      </c>
      <c r="O173" s="1403">
        <f t="shared" si="23"/>
        <v>935.00000000000011</v>
      </c>
      <c r="P173" s="1403">
        <f t="shared" si="23"/>
        <v>935.00000000000011</v>
      </c>
      <c r="Q173" s="1403">
        <v>935.00000000000011</v>
      </c>
      <c r="R173" s="25"/>
    </row>
    <row r="174" spans="1:18" ht="17.25">
      <c r="A174" s="608">
        <f t="shared" ref="A174:A176" si="27">A173+0.01</f>
        <v>19.020000000000003</v>
      </c>
      <c r="B174" s="24" t="s">
        <v>526</v>
      </c>
      <c r="C174" s="37" t="s">
        <v>519</v>
      </c>
      <c r="D174" s="75"/>
      <c r="E174" s="1404"/>
      <c r="F174" s="1404"/>
      <c r="G174" s="1404"/>
      <c r="H174" s="1404">
        <v>1200</v>
      </c>
      <c r="I174" s="1405">
        <v>1200</v>
      </c>
      <c r="J174" s="1405">
        <f t="shared" si="21"/>
        <v>1200</v>
      </c>
      <c r="K174" s="1405">
        <f t="shared" si="21"/>
        <v>1200</v>
      </c>
      <c r="L174" s="1405">
        <f t="shared" si="21"/>
        <v>1200</v>
      </c>
      <c r="M174" s="1405">
        <f t="shared" si="22"/>
        <v>1320</v>
      </c>
      <c r="N174" s="1403">
        <f t="shared" si="23"/>
        <v>1320</v>
      </c>
      <c r="O174" s="1403">
        <f t="shared" si="23"/>
        <v>1320</v>
      </c>
      <c r="P174" s="1403">
        <f t="shared" si="23"/>
        <v>1320</v>
      </c>
      <c r="Q174" s="1403">
        <v>1320</v>
      </c>
      <c r="R174" s="25"/>
    </row>
    <row r="175" spans="1:18" ht="17.25">
      <c r="A175" s="608">
        <f t="shared" si="27"/>
        <v>19.030000000000005</v>
      </c>
      <c r="B175" s="24" t="s">
        <v>527</v>
      </c>
      <c r="C175" s="37" t="s">
        <v>519</v>
      </c>
      <c r="D175" s="75"/>
      <c r="E175" s="1404"/>
      <c r="F175" s="1404"/>
      <c r="G175" s="1404"/>
      <c r="H175" s="1404">
        <v>1850</v>
      </c>
      <c r="I175" s="1405">
        <v>1850</v>
      </c>
      <c r="J175" s="1405">
        <f t="shared" si="21"/>
        <v>1850</v>
      </c>
      <c r="K175" s="1405">
        <f t="shared" si="21"/>
        <v>1850</v>
      </c>
      <c r="L175" s="1405">
        <f t="shared" si="21"/>
        <v>1850</v>
      </c>
      <c r="M175" s="1405">
        <f t="shared" si="22"/>
        <v>2035.0000000000002</v>
      </c>
      <c r="N175" s="1403">
        <f t="shared" si="23"/>
        <v>2035.0000000000002</v>
      </c>
      <c r="O175" s="1403">
        <f t="shared" si="23"/>
        <v>2035.0000000000002</v>
      </c>
      <c r="P175" s="1403">
        <f t="shared" si="23"/>
        <v>2035.0000000000002</v>
      </c>
      <c r="Q175" s="1403">
        <v>2035.0000000000002</v>
      </c>
      <c r="R175" s="25"/>
    </row>
    <row r="176" spans="1:18" ht="17.25">
      <c r="A176" s="608">
        <f t="shared" si="27"/>
        <v>19.040000000000006</v>
      </c>
      <c r="B176" s="50" t="s">
        <v>533</v>
      </c>
      <c r="C176" s="37" t="s">
        <v>519</v>
      </c>
      <c r="D176" s="75"/>
      <c r="E176" s="1404"/>
      <c r="F176" s="1404"/>
      <c r="G176" s="1404"/>
      <c r="H176" s="1404">
        <v>25500</v>
      </c>
      <c r="I176" s="1405">
        <v>25500</v>
      </c>
      <c r="J176" s="1405">
        <f t="shared" si="21"/>
        <v>25500</v>
      </c>
      <c r="K176" s="1405">
        <f t="shared" si="21"/>
        <v>25500</v>
      </c>
      <c r="L176" s="1405">
        <f t="shared" si="21"/>
        <v>25500</v>
      </c>
      <c r="M176" s="1405">
        <f t="shared" si="22"/>
        <v>28050.000000000004</v>
      </c>
      <c r="N176" s="1403">
        <f t="shared" si="23"/>
        <v>28050.000000000004</v>
      </c>
      <c r="O176" s="1403">
        <f t="shared" si="23"/>
        <v>28050.000000000004</v>
      </c>
      <c r="P176" s="1403">
        <f t="shared" si="23"/>
        <v>28050.000000000004</v>
      </c>
      <c r="Q176" s="1403">
        <v>28050.000000000004</v>
      </c>
      <c r="R176" s="25"/>
    </row>
    <row r="177" spans="1:18" ht="15" customHeight="1">
      <c r="A177" s="586">
        <v>20</v>
      </c>
      <c r="B177" s="584" t="s">
        <v>554</v>
      </c>
      <c r="C177" s="445"/>
      <c r="D177" s="1416"/>
      <c r="E177" s="1408"/>
      <c r="F177" s="1408"/>
      <c r="G177" s="1408"/>
      <c r="H177" s="1408"/>
      <c r="I177" s="1408"/>
      <c r="J177" s="1408"/>
      <c r="K177" s="1408"/>
      <c r="L177" s="1408"/>
      <c r="M177" s="1408"/>
      <c r="N177" s="1407"/>
      <c r="O177" s="1407"/>
      <c r="P177" s="1407"/>
      <c r="Q177" s="1407"/>
      <c r="R177" s="330"/>
    </row>
    <row r="178" spans="1:18" ht="17.25">
      <c r="A178" s="608">
        <f>A177+0.01</f>
        <v>20.010000000000002</v>
      </c>
      <c r="B178" s="24" t="s">
        <v>525</v>
      </c>
      <c r="C178" s="37" t="s">
        <v>519</v>
      </c>
      <c r="D178" s="75"/>
      <c r="E178" s="1404"/>
      <c r="F178" s="1404"/>
      <c r="G178" s="1404"/>
      <c r="H178" s="1404">
        <v>800</v>
      </c>
      <c r="I178" s="1405">
        <v>800</v>
      </c>
      <c r="J178" s="1405">
        <f t="shared" si="21"/>
        <v>800</v>
      </c>
      <c r="K178" s="1405">
        <f t="shared" si="21"/>
        <v>800</v>
      </c>
      <c r="L178" s="1405">
        <f t="shared" si="21"/>
        <v>800</v>
      </c>
      <c r="M178" s="1405">
        <f t="shared" si="22"/>
        <v>880.00000000000011</v>
      </c>
      <c r="N178" s="1403">
        <f t="shared" si="23"/>
        <v>880.00000000000011</v>
      </c>
      <c r="O178" s="1403">
        <f t="shared" si="23"/>
        <v>880.00000000000011</v>
      </c>
      <c r="P178" s="1403">
        <f t="shared" si="23"/>
        <v>880.00000000000011</v>
      </c>
      <c r="Q178" s="1403">
        <v>880.00000000000011</v>
      </c>
      <c r="R178" s="25"/>
    </row>
    <row r="179" spans="1:18" ht="17.25">
      <c r="A179" s="608">
        <f t="shared" ref="A179:A180" si="28">A178+0.01</f>
        <v>20.020000000000003</v>
      </c>
      <c r="B179" s="24" t="s">
        <v>526</v>
      </c>
      <c r="C179" s="37" t="s">
        <v>519</v>
      </c>
      <c r="D179" s="75"/>
      <c r="E179" s="1404"/>
      <c r="F179" s="1404"/>
      <c r="G179" s="1404"/>
      <c r="H179" s="1404">
        <v>1550</v>
      </c>
      <c r="I179" s="1405">
        <v>1550</v>
      </c>
      <c r="J179" s="1405">
        <f t="shared" si="21"/>
        <v>1550</v>
      </c>
      <c r="K179" s="1405">
        <f t="shared" si="21"/>
        <v>1550</v>
      </c>
      <c r="L179" s="1405">
        <f t="shared" si="21"/>
        <v>1550</v>
      </c>
      <c r="M179" s="1405">
        <f t="shared" si="22"/>
        <v>1705.0000000000002</v>
      </c>
      <c r="N179" s="1403">
        <f t="shared" si="23"/>
        <v>1705.0000000000002</v>
      </c>
      <c r="O179" s="1403">
        <f t="shared" si="23"/>
        <v>1705.0000000000002</v>
      </c>
      <c r="P179" s="1403">
        <f t="shared" si="23"/>
        <v>1705.0000000000002</v>
      </c>
      <c r="Q179" s="1403">
        <v>1705.0000000000002</v>
      </c>
      <c r="R179" s="25"/>
    </row>
    <row r="180" spans="1:18" ht="17.25">
      <c r="A180" s="608">
        <f t="shared" si="28"/>
        <v>20.030000000000005</v>
      </c>
      <c r="B180" s="50" t="s">
        <v>527</v>
      </c>
      <c r="C180" s="37" t="s">
        <v>519</v>
      </c>
      <c r="D180" s="75"/>
      <c r="E180" s="1404"/>
      <c r="F180" s="1404"/>
      <c r="G180" s="1404"/>
      <c r="H180" s="1404">
        <v>2550</v>
      </c>
      <c r="I180" s="1405">
        <v>2550</v>
      </c>
      <c r="J180" s="1405">
        <f t="shared" si="21"/>
        <v>2550</v>
      </c>
      <c r="K180" s="1405">
        <f t="shared" si="21"/>
        <v>2550</v>
      </c>
      <c r="L180" s="1405">
        <f t="shared" si="21"/>
        <v>2550</v>
      </c>
      <c r="M180" s="1405">
        <f t="shared" si="22"/>
        <v>2805</v>
      </c>
      <c r="N180" s="1403">
        <f t="shared" si="23"/>
        <v>2805</v>
      </c>
      <c r="O180" s="1403">
        <f t="shared" si="23"/>
        <v>2805</v>
      </c>
      <c r="P180" s="1403">
        <f t="shared" si="23"/>
        <v>2805</v>
      </c>
      <c r="Q180" s="1403">
        <v>2805</v>
      </c>
      <c r="R180" s="25"/>
    </row>
    <row r="181" spans="1:18" ht="15" customHeight="1">
      <c r="A181" s="586">
        <v>21</v>
      </c>
      <c r="B181" s="369" t="s">
        <v>555</v>
      </c>
      <c r="C181" s="445"/>
      <c r="D181" s="1416"/>
      <c r="E181" s="1408"/>
      <c r="F181" s="1408"/>
      <c r="G181" s="1408"/>
      <c r="H181" s="1408"/>
      <c r="I181" s="1408"/>
      <c r="J181" s="1408"/>
      <c r="K181" s="1408"/>
      <c r="L181" s="1408"/>
      <c r="M181" s="1408"/>
      <c r="N181" s="1407"/>
      <c r="O181" s="1407"/>
      <c r="P181" s="1407"/>
      <c r="Q181" s="1407"/>
      <c r="R181" s="330"/>
    </row>
    <row r="182" spans="1:18" ht="15" customHeight="1">
      <c r="A182" s="608">
        <f>A181+0.01</f>
        <v>21.01</v>
      </c>
      <c r="B182" s="50" t="s">
        <v>542</v>
      </c>
      <c r="C182" s="37" t="s">
        <v>519</v>
      </c>
      <c r="D182" s="75"/>
      <c r="E182" s="1404"/>
      <c r="F182" s="1404"/>
      <c r="G182" s="1404"/>
      <c r="H182" s="1404">
        <v>3850</v>
      </c>
      <c r="I182" s="1405">
        <v>3850</v>
      </c>
      <c r="J182" s="1405">
        <f t="shared" si="21"/>
        <v>3850</v>
      </c>
      <c r="K182" s="1405">
        <f t="shared" si="21"/>
        <v>3850</v>
      </c>
      <c r="L182" s="1405">
        <f t="shared" si="21"/>
        <v>3850</v>
      </c>
      <c r="M182" s="1405">
        <f t="shared" si="22"/>
        <v>4235</v>
      </c>
      <c r="N182" s="1403">
        <f t="shared" si="23"/>
        <v>4235</v>
      </c>
      <c r="O182" s="1403">
        <f t="shared" si="23"/>
        <v>4235</v>
      </c>
      <c r="P182" s="1403">
        <f t="shared" si="23"/>
        <v>4235</v>
      </c>
      <c r="Q182" s="1403">
        <v>4235</v>
      </c>
      <c r="R182" s="25"/>
    </row>
    <row r="183" spans="1:18" ht="15" customHeight="1">
      <c r="A183" s="608">
        <f>A182+0.01</f>
        <v>21.020000000000003</v>
      </c>
      <c r="B183" s="50" t="s">
        <v>556</v>
      </c>
      <c r="C183" s="37" t="s">
        <v>519</v>
      </c>
      <c r="D183" s="1403"/>
      <c r="E183" s="1404"/>
      <c r="F183" s="1404"/>
      <c r="G183" s="1404"/>
      <c r="H183" s="1404">
        <v>4250</v>
      </c>
      <c r="I183" s="1405">
        <v>4250</v>
      </c>
      <c r="J183" s="1405">
        <f t="shared" si="21"/>
        <v>4250</v>
      </c>
      <c r="K183" s="1405">
        <f t="shared" si="21"/>
        <v>4250</v>
      </c>
      <c r="L183" s="1405">
        <f t="shared" si="21"/>
        <v>4250</v>
      </c>
      <c r="M183" s="1405">
        <f t="shared" si="22"/>
        <v>4675</v>
      </c>
      <c r="N183" s="1403">
        <f t="shared" si="23"/>
        <v>4675</v>
      </c>
      <c r="O183" s="1403">
        <f t="shared" si="23"/>
        <v>4675</v>
      </c>
      <c r="P183" s="1403">
        <f t="shared" si="23"/>
        <v>4675</v>
      </c>
      <c r="Q183" s="1403">
        <v>4675</v>
      </c>
      <c r="R183" s="25"/>
    </row>
    <row r="184" spans="1:18" ht="15" customHeight="1">
      <c r="A184" s="383">
        <v>22</v>
      </c>
      <c r="B184" s="369" t="s">
        <v>557</v>
      </c>
      <c r="C184" s="445"/>
      <c r="D184" s="1407"/>
      <c r="E184" s="1408"/>
      <c r="F184" s="1408"/>
      <c r="G184" s="1408"/>
      <c r="H184" s="1408"/>
      <c r="I184" s="1408"/>
      <c r="J184" s="1408"/>
      <c r="K184" s="1408"/>
      <c r="L184" s="1408"/>
      <c r="M184" s="1408"/>
      <c r="N184" s="1407"/>
      <c r="O184" s="1407"/>
      <c r="P184" s="1407"/>
      <c r="Q184" s="1407"/>
      <c r="R184" s="330"/>
    </row>
    <row r="185" spans="1:18" ht="15" customHeight="1">
      <c r="A185" s="608">
        <f>A184+0.01</f>
        <v>22.01</v>
      </c>
      <c r="B185" s="24" t="s">
        <v>525</v>
      </c>
      <c r="C185" s="37" t="s">
        <v>519</v>
      </c>
      <c r="D185" s="1403"/>
      <c r="E185" s="1404"/>
      <c r="F185" s="1404"/>
      <c r="G185" s="1404"/>
      <c r="H185" s="1404">
        <v>575</v>
      </c>
      <c r="I185" s="1405">
        <v>575</v>
      </c>
      <c r="J185" s="1405">
        <f t="shared" si="21"/>
        <v>575</v>
      </c>
      <c r="K185" s="1405">
        <f t="shared" si="21"/>
        <v>575</v>
      </c>
      <c r="L185" s="1405">
        <f t="shared" si="21"/>
        <v>575</v>
      </c>
      <c r="M185" s="1405">
        <f t="shared" si="22"/>
        <v>632.5</v>
      </c>
      <c r="N185" s="1403">
        <f t="shared" si="23"/>
        <v>632.5</v>
      </c>
      <c r="O185" s="1403">
        <f t="shared" si="23"/>
        <v>632.5</v>
      </c>
      <c r="P185" s="1403">
        <f t="shared" si="23"/>
        <v>632.5</v>
      </c>
      <c r="Q185" s="1403">
        <v>632.5</v>
      </c>
      <c r="R185" s="25"/>
    </row>
    <row r="186" spans="1:18" ht="15" customHeight="1">
      <c r="A186" s="608">
        <f t="shared" ref="A186:A187" si="29">A185+0.01</f>
        <v>22.020000000000003</v>
      </c>
      <c r="B186" s="24" t="s">
        <v>526</v>
      </c>
      <c r="C186" s="37" t="s">
        <v>519</v>
      </c>
      <c r="D186" s="1403"/>
      <c r="E186" s="1404"/>
      <c r="F186" s="1404"/>
      <c r="G186" s="1404"/>
      <c r="H186" s="1404">
        <v>900</v>
      </c>
      <c r="I186" s="1405">
        <v>900</v>
      </c>
      <c r="J186" s="1405">
        <f t="shared" si="21"/>
        <v>900</v>
      </c>
      <c r="K186" s="1405">
        <f t="shared" si="21"/>
        <v>900</v>
      </c>
      <c r="L186" s="1405">
        <f t="shared" si="21"/>
        <v>900</v>
      </c>
      <c r="M186" s="1405">
        <f t="shared" si="22"/>
        <v>990.00000000000011</v>
      </c>
      <c r="N186" s="1403">
        <f t="shared" si="23"/>
        <v>990.00000000000011</v>
      </c>
      <c r="O186" s="1403">
        <f t="shared" si="23"/>
        <v>990.00000000000011</v>
      </c>
      <c r="P186" s="1403">
        <f t="shared" si="23"/>
        <v>990.00000000000011</v>
      </c>
      <c r="Q186" s="1403">
        <v>990.00000000000011</v>
      </c>
      <c r="R186" s="25"/>
    </row>
    <row r="187" spans="1:18" ht="15" customHeight="1">
      <c r="A187" s="608">
        <f t="shared" si="29"/>
        <v>22.030000000000005</v>
      </c>
      <c r="B187" s="50" t="s">
        <v>527</v>
      </c>
      <c r="C187" s="37" t="s">
        <v>519</v>
      </c>
      <c r="D187" s="1403"/>
      <c r="E187" s="1404"/>
      <c r="F187" s="1404"/>
      <c r="G187" s="1404"/>
      <c r="H187" s="1404">
        <v>1550</v>
      </c>
      <c r="I187" s="1405">
        <v>1550</v>
      </c>
      <c r="J187" s="1405">
        <f t="shared" si="21"/>
        <v>1550</v>
      </c>
      <c r="K187" s="1405">
        <f t="shared" si="21"/>
        <v>1550</v>
      </c>
      <c r="L187" s="1405">
        <f t="shared" si="21"/>
        <v>1550</v>
      </c>
      <c r="M187" s="1405">
        <f t="shared" si="22"/>
        <v>1705.0000000000002</v>
      </c>
      <c r="N187" s="1403">
        <f t="shared" si="23"/>
        <v>1705.0000000000002</v>
      </c>
      <c r="O187" s="1403">
        <f t="shared" si="23"/>
        <v>1705.0000000000002</v>
      </c>
      <c r="P187" s="1403">
        <f t="shared" si="23"/>
        <v>1705.0000000000002</v>
      </c>
      <c r="Q187" s="1403">
        <v>1705.0000000000002</v>
      </c>
      <c r="R187" s="25"/>
    </row>
    <row r="188" spans="1:18" ht="15" customHeight="1">
      <c r="A188" s="383">
        <v>23</v>
      </c>
      <c r="B188" s="369" t="s">
        <v>558</v>
      </c>
      <c r="C188" s="445"/>
      <c r="D188" s="1418"/>
      <c r="E188" s="1413"/>
      <c r="F188" s="1413"/>
      <c r="G188" s="1413"/>
      <c r="H188" s="1408"/>
      <c r="I188" s="1408"/>
      <c r="J188" s="1408"/>
      <c r="K188" s="1408"/>
      <c r="L188" s="1408"/>
      <c r="M188" s="1408"/>
      <c r="N188" s="1407"/>
      <c r="O188" s="1407"/>
      <c r="P188" s="1407"/>
      <c r="Q188" s="1407"/>
      <c r="R188" s="330"/>
    </row>
    <row r="189" spans="1:18" ht="15" customHeight="1">
      <c r="A189" s="608">
        <f>A188+0.01</f>
        <v>23.01</v>
      </c>
      <c r="B189" s="24" t="s">
        <v>525</v>
      </c>
      <c r="C189" s="37" t="s">
        <v>519</v>
      </c>
      <c r="D189" s="1409"/>
      <c r="E189" s="1404"/>
      <c r="F189" s="1404"/>
      <c r="G189" s="1404"/>
      <c r="H189" s="1404">
        <v>350</v>
      </c>
      <c r="I189" s="1405">
        <v>350</v>
      </c>
      <c r="J189" s="1405">
        <f t="shared" si="21"/>
        <v>350</v>
      </c>
      <c r="K189" s="1405">
        <f t="shared" si="21"/>
        <v>350</v>
      </c>
      <c r="L189" s="1405">
        <f t="shared" si="21"/>
        <v>350</v>
      </c>
      <c r="M189" s="1405">
        <f t="shared" si="22"/>
        <v>385.00000000000006</v>
      </c>
      <c r="N189" s="1403">
        <f t="shared" si="23"/>
        <v>385.00000000000006</v>
      </c>
      <c r="O189" s="1403">
        <f t="shared" si="23"/>
        <v>385.00000000000006</v>
      </c>
      <c r="P189" s="1403">
        <f t="shared" si="23"/>
        <v>385.00000000000006</v>
      </c>
      <c r="Q189" s="1403">
        <v>385.00000000000006</v>
      </c>
      <c r="R189" s="25"/>
    </row>
    <row r="190" spans="1:18" ht="15" customHeight="1">
      <c r="A190" s="608">
        <f t="shared" ref="A190:A191" si="30">A189+0.01</f>
        <v>23.020000000000003</v>
      </c>
      <c r="B190" s="24" t="s">
        <v>526</v>
      </c>
      <c r="C190" s="37" t="s">
        <v>519</v>
      </c>
      <c r="D190" s="1409"/>
      <c r="E190" s="1404"/>
      <c r="F190" s="1404"/>
      <c r="G190" s="1404"/>
      <c r="H190" s="1404">
        <v>450</v>
      </c>
      <c r="I190" s="1405">
        <v>450</v>
      </c>
      <c r="J190" s="1405">
        <f t="shared" si="21"/>
        <v>450</v>
      </c>
      <c r="K190" s="1405">
        <f t="shared" si="21"/>
        <v>450</v>
      </c>
      <c r="L190" s="1405">
        <f t="shared" si="21"/>
        <v>450</v>
      </c>
      <c r="M190" s="1405">
        <f t="shared" si="22"/>
        <v>495.00000000000006</v>
      </c>
      <c r="N190" s="1403">
        <f t="shared" si="23"/>
        <v>495.00000000000006</v>
      </c>
      <c r="O190" s="1403">
        <f t="shared" si="23"/>
        <v>495.00000000000006</v>
      </c>
      <c r="P190" s="1403">
        <f t="shared" si="23"/>
        <v>495.00000000000006</v>
      </c>
      <c r="Q190" s="1403">
        <v>495.00000000000006</v>
      </c>
      <c r="R190" s="25"/>
    </row>
    <row r="191" spans="1:18" ht="15" customHeight="1">
      <c r="A191" s="608">
        <f t="shared" si="30"/>
        <v>23.030000000000005</v>
      </c>
      <c r="B191" s="50" t="s">
        <v>527</v>
      </c>
      <c r="C191" s="37" t="s">
        <v>519</v>
      </c>
      <c r="D191" s="1409"/>
      <c r="E191" s="1404"/>
      <c r="F191" s="1404"/>
      <c r="G191" s="1404"/>
      <c r="H191" s="1404">
        <v>500</v>
      </c>
      <c r="I191" s="1405">
        <v>500</v>
      </c>
      <c r="J191" s="1405">
        <f t="shared" si="21"/>
        <v>500</v>
      </c>
      <c r="K191" s="1405">
        <f t="shared" si="21"/>
        <v>500</v>
      </c>
      <c r="L191" s="1405">
        <f t="shared" si="21"/>
        <v>500</v>
      </c>
      <c r="M191" s="1405">
        <f t="shared" si="22"/>
        <v>550</v>
      </c>
      <c r="N191" s="1403">
        <f t="shared" si="23"/>
        <v>550</v>
      </c>
      <c r="O191" s="1403">
        <f t="shared" si="23"/>
        <v>550</v>
      </c>
      <c r="P191" s="1403">
        <f t="shared" si="23"/>
        <v>550</v>
      </c>
      <c r="Q191" s="1403">
        <v>550</v>
      </c>
      <c r="R191" s="25"/>
    </row>
    <row r="192" spans="1:18" ht="15" customHeight="1">
      <c r="A192" s="383">
        <v>24</v>
      </c>
      <c r="B192" s="587" t="s">
        <v>559</v>
      </c>
      <c r="C192" s="445"/>
      <c r="D192" s="1419"/>
      <c r="E192" s="1408"/>
      <c r="F192" s="1408"/>
      <c r="G192" s="1408"/>
      <c r="H192" s="1408"/>
      <c r="I192" s="1408"/>
      <c r="J192" s="1408"/>
      <c r="K192" s="1408"/>
      <c r="L192" s="1408"/>
      <c r="M192" s="1408"/>
      <c r="N192" s="1407"/>
      <c r="O192" s="1407"/>
      <c r="P192" s="1407"/>
      <c r="Q192" s="1407"/>
      <c r="R192" s="330"/>
    </row>
    <row r="193" spans="1:18" ht="15" customHeight="1">
      <c r="A193" s="608">
        <f>A192+0.01</f>
        <v>24.01</v>
      </c>
      <c r="B193" s="15" t="s">
        <v>528</v>
      </c>
      <c r="C193" s="37" t="s">
        <v>519</v>
      </c>
      <c r="D193" s="1409"/>
      <c r="E193" s="1404"/>
      <c r="F193" s="1404"/>
      <c r="G193" s="1404"/>
      <c r="H193" s="1404">
        <v>660</v>
      </c>
      <c r="I193" s="1405">
        <v>660</v>
      </c>
      <c r="J193" s="1405">
        <f t="shared" si="21"/>
        <v>660</v>
      </c>
      <c r="K193" s="1405">
        <f t="shared" si="21"/>
        <v>660</v>
      </c>
      <c r="L193" s="1405">
        <f t="shared" si="21"/>
        <v>660</v>
      </c>
      <c r="M193" s="1405">
        <f t="shared" si="22"/>
        <v>726.00000000000011</v>
      </c>
      <c r="N193" s="1403">
        <f t="shared" si="23"/>
        <v>726.00000000000011</v>
      </c>
      <c r="O193" s="1403">
        <f t="shared" si="23"/>
        <v>726.00000000000011</v>
      </c>
      <c r="P193" s="1403">
        <f t="shared" si="23"/>
        <v>726.00000000000011</v>
      </c>
      <c r="Q193" s="1403">
        <v>726.00000000000011</v>
      </c>
      <c r="R193" s="25"/>
    </row>
    <row r="194" spans="1:18" ht="15" customHeight="1">
      <c r="A194" s="608">
        <f t="shared" ref="A194:A198" si="31">A193+0.01</f>
        <v>24.020000000000003</v>
      </c>
      <c r="B194" s="15" t="s">
        <v>529</v>
      </c>
      <c r="C194" s="37" t="s">
        <v>519</v>
      </c>
      <c r="D194" s="1409"/>
      <c r="E194" s="1404"/>
      <c r="F194" s="1404"/>
      <c r="G194" s="1404"/>
      <c r="H194" s="1404">
        <v>880</v>
      </c>
      <c r="I194" s="1405">
        <v>880</v>
      </c>
      <c r="J194" s="1405">
        <f t="shared" si="21"/>
        <v>880</v>
      </c>
      <c r="K194" s="1405">
        <f t="shared" si="21"/>
        <v>880</v>
      </c>
      <c r="L194" s="1405">
        <f t="shared" si="21"/>
        <v>880</v>
      </c>
      <c r="M194" s="1405">
        <f t="shared" si="22"/>
        <v>968.00000000000011</v>
      </c>
      <c r="N194" s="1403">
        <f t="shared" si="23"/>
        <v>968.00000000000011</v>
      </c>
      <c r="O194" s="1403">
        <f t="shared" si="23"/>
        <v>968.00000000000011</v>
      </c>
      <c r="P194" s="1403">
        <f t="shared" si="23"/>
        <v>968.00000000000011</v>
      </c>
      <c r="Q194" s="1403">
        <v>968.00000000000011</v>
      </c>
      <c r="R194" s="25"/>
    </row>
    <row r="195" spans="1:18" ht="15" customHeight="1">
      <c r="A195" s="608">
        <f t="shared" si="31"/>
        <v>24.030000000000005</v>
      </c>
      <c r="B195" s="116" t="s">
        <v>530</v>
      </c>
      <c r="C195" s="37" t="s">
        <v>519</v>
      </c>
      <c r="D195" s="1409"/>
      <c r="E195" s="1404"/>
      <c r="F195" s="1404"/>
      <c r="G195" s="1404"/>
      <c r="H195" s="1404">
        <v>1375</v>
      </c>
      <c r="I195" s="1405">
        <v>1375</v>
      </c>
      <c r="J195" s="1405">
        <f t="shared" si="21"/>
        <v>1375</v>
      </c>
      <c r="K195" s="1405">
        <f t="shared" si="21"/>
        <v>1375</v>
      </c>
      <c r="L195" s="1405">
        <f t="shared" si="21"/>
        <v>1375</v>
      </c>
      <c r="M195" s="1405">
        <f t="shared" si="22"/>
        <v>1512.5000000000002</v>
      </c>
      <c r="N195" s="1403">
        <f t="shared" si="23"/>
        <v>1512.5000000000002</v>
      </c>
      <c r="O195" s="1403">
        <f t="shared" si="23"/>
        <v>1512.5000000000002</v>
      </c>
      <c r="P195" s="1403">
        <f t="shared" si="23"/>
        <v>1512.5000000000002</v>
      </c>
      <c r="Q195" s="1403">
        <v>1512.5000000000002</v>
      </c>
      <c r="R195" s="25"/>
    </row>
    <row r="196" spans="1:18" ht="15" customHeight="1">
      <c r="A196" s="608">
        <f t="shared" si="31"/>
        <v>24.040000000000006</v>
      </c>
      <c r="B196" s="116" t="s">
        <v>531</v>
      </c>
      <c r="C196" s="37" t="s">
        <v>519</v>
      </c>
      <c r="D196" s="1409"/>
      <c r="E196" s="1404"/>
      <c r="F196" s="1404"/>
      <c r="G196" s="1404"/>
      <c r="H196" s="1404">
        <v>1775</v>
      </c>
      <c r="I196" s="1405">
        <v>1775</v>
      </c>
      <c r="J196" s="1405">
        <f t="shared" si="21"/>
        <v>1775</v>
      </c>
      <c r="K196" s="1405">
        <f t="shared" si="21"/>
        <v>1775</v>
      </c>
      <c r="L196" s="1405">
        <f t="shared" si="21"/>
        <v>1775</v>
      </c>
      <c r="M196" s="1405">
        <f t="shared" si="22"/>
        <v>1952.5000000000002</v>
      </c>
      <c r="N196" s="1403">
        <f t="shared" si="23"/>
        <v>1952.5000000000002</v>
      </c>
      <c r="O196" s="1403">
        <f t="shared" si="23"/>
        <v>1952.5000000000002</v>
      </c>
      <c r="P196" s="1403">
        <f t="shared" si="23"/>
        <v>1952.5000000000002</v>
      </c>
      <c r="Q196" s="1403">
        <v>1952.5000000000002</v>
      </c>
      <c r="R196" s="25"/>
    </row>
    <row r="197" spans="1:18" ht="15" customHeight="1">
      <c r="A197" s="608">
        <f t="shared" si="31"/>
        <v>24.050000000000008</v>
      </c>
      <c r="B197" s="116" t="s">
        <v>532</v>
      </c>
      <c r="C197" s="37" t="s">
        <v>519</v>
      </c>
      <c r="D197" s="1409"/>
      <c r="E197" s="1404"/>
      <c r="F197" s="1404"/>
      <c r="G197" s="1404"/>
      <c r="H197" s="1404">
        <v>2350</v>
      </c>
      <c r="I197" s="1405">
        <v>2350</v>
      </c>
      <c r="J197" s="1405">
        <f t="shared" ref="J197:L260" si="32">I197</f>
        <v>2350</v>
      </c>
      <c r="K197" s="1405">
        <f t="shared" si="32"/>
        <v>2350</v>
      </c>
      <c r="L197" s="1405">
        <f t="shared" si="32"/>
        <v>2350</v>
      </c>
      <c r="M197" s="1405">
        <f t="shared" ref="M197:M260" si="33">L197*1.1</f>
        <v>2585</v>
      </c>
      <c r="N197" s="1403">
        <f t="shared" ref="N197:P260" si="34">M197</f>
        <v>2585</v>
      </c>
      <c r="O197" s="1403">
        <f t="shared" si="34"/>
        <v>2585</v>
      </c>
      <c r="P197" s="1403">
        <f t="shared" si="34"/>
        <v>2585</v>
      </c>
      <c r="Q197" s="1403">
        <v>2585</v>
      </c>
      <c r="R197" s="25"/>
    </row>
    <row r="198" spans="1:18" ht="15" customHeight="1">
      <c r="A198" s="608">
        <f t="shared" si="31"/>
        <v>24.060000000000009</v>
      </c>
      <c r="B198" s="116" t="s">
        <v>533</v>
      </c>
      <c r="C198" s="37" t="s">
        <v>519</v>
      </c>
      <c r="D198" s="1409"/>
      <c r="E198" s="1404"/>
      <c r="F198" s="1404"/>
      <c r="G198" s="1404"/>
      <c r="H198" s="1404">
        <v>2720</v>
      </c>
      <c r="I198" s="1405">
        <v>2720</v>
      </c>
      <c r="J198" s="1405">
        <f t="shared" si="32"/>
        <v>2720</v>
      </c>
      <c r="K198" s="1405">
        <f t="shared" si="32"/>
        <v>2720</v>
      </c>
      <c r="L198" s="1405">
        <f t="shared" si="32"/>
        <v>2720</v>
      </c>
      <c r="M198" s="1405">
        <f t="shared" si="33"/>
        <v>2992.0000000000005</v>
      </c>
      <c r="N198" s="1403">
        <f t="shared" si="34"/>
        <v>2992.0000000000005</v>
      </c>
      <c r="O198" s="1403">
        <f t="shared" si="34"/>
        <v>2992.0000000000005</v>
      </c>
      <c r="P198" s="1403">
        <f t="shared" si="34"/>
        <v>2992.0000000000005</v>
      </c>
      <c r="Q198" s="1403">
        <v>2992.0000000000005</v>
      </c>
      <c r="R198" s="25"/>
    </row>
    <row r="199" spans="1:18" ht="15" customHeight="1">
      <c r="A199" s="383">
        <v>25</v>
      </c>
      <c r="B199" s="587" t="s">
        <v>560</v>
      </c>
      <c r="C199" s="1077"/>
      <c r="D199" s="1419"/>
      <c r="E199" s="1408"/>
      <c r="F199" s="1408"/>
      <c r="G199" s="1408"/>
      <c r="H199" s="1408"/>
      <c r="I199" s="1408"/>
      <c r="J199" s="1408"/>
      <c r="K199" s="1408"/>
      <c r="L199" s="1408"/>
      <c r="M199" s="1408"/>
      <c r="N199" s="1407"/>
      <c r="O199" s="1407"/>
      <c r="P199" s="1407"/>
      <c r="Q199" s="1407"/>
      <c r="R199" s="330"/>
    </row>
    <row r="200" spans="1:18" ht="15" customHeight="1">
      <c r="A200" s="608">
        <f>A199+0.01</f>
        <v>25.01</v>
      </c>
      <c r="B200" s="116" t="s">
        <v>530</v>
      </c>
      <c r="C200" s="310"/>
      <c r="D200" s="1409"/>
      <c r="E200" s="1404"/>
      <c r="F200" s="1404"/>
      <c r="G200" s="1404"/>
      <c r="H200" s="1404">
        <v>1280</v>
      </c>
      <c r="I200" s="1405">
        <v>1280</v>
      </c>
      <c r="J200" s="1405">
        <f t="shared" si="32"/>
        <v>1280</v>
      </c>
      <c r="K200" s="1405">
        <f t="shared" si="32"/>
        <v>1280</v>
      </c>
      <c r="L200" s="1405">
        <f t="shared" si="32"/>
        <v>1280</v>
      </c>
      <c r="M200" s="1405">
        <f t="shared" si="33"/>
        <v>1408</v>
      </c>
      <c r="N200" s="1403">
        <f t="shared" si="34"/>
        <v>1408</v>
      </c>
      <c r="O200" s="1403">
        <f t="shared" si="34"/>
        <v>1408</v>
      </c>
      <c r="P200" s="1403">
        <f t="shared" si="34"/>
        <v>1408</v>
      </c>
      <c r="Q200" s="1403">
        <v>1408</v>
      </c>
      <c r="R200" s="25"/>
    </row>
    <row r="201" spans="1:18" ht="15" customHeight="1">
      <c r="A201" s="608">
        <f t="shared" ref="A201:A203" si="35">A200+0.01</f>
        <v>25.020000000000003</v>
      </c>
      <c r="B201" s="116" t="s">
        <v>561</v>
      </c>
      <c r="C201" s="52" t="s">
        <v>562</v>
      </c>
      <c r="D201" s="1409"/>
      <c r="E201" s="1404"/>
      <c r="F201" s="1404"/>
      <c r="G201" s="1404"/>
      <c r="H201" s="1404">
        <v>1980</v>
      </c>
      <c r="I201" s="1405">
        <v>1980</v>
      </c>
      <c r="J201" s="1405">
        <f t="shared" si="32"/>
        <v>1980</v>
      </c>
      <c r="K201" s="1405">
        <f t="shared" si="32"/>
        <v>1980</v>
      </c>
      <c r="L201" s="1405">
        <f t="shared" si="32"/>
        <v>1980</v>
      </c>
      <c r="M201" s="1405">
        <f t="shared" si="33"/>
        <v>2178</v>
      </c>
      <c r="N201" s="1403">
        <f t="shared" si="34"/>
        <v>2178</v>
      </c>
      <c r="O201" s="1403">
        <f t="shared" si="34"/>
        <v>2178</v>
      </c>
      <c r="P201" s="1403">
        <f t="shared" si="34"/>
        <v>2178</v>
      </c>
      <c r="Q201" s="1403">
        <v>2178</v>
      </c>
      <c r="R201" s="25"/>
    </row>
    <row r="202" spans="1:18" ht="15" customHeight="1">
      <c r="A202" s="608">
        <f t="shared" si="35"/>
        <v>25.030000000000005</v>
      </c>
      <c r="B202" s="80" t="s">
        <v>563</v>
      </c>
      <c r="C202" s="52" t="s">
        <v>562</v>
      </c>
      <c r="D202" s="1420"/>
      <c r="E202" s="1405"/>
      <c r="F202" s="1405"/>
      <c r="G202" s="1405"/>
      <c r="H202" s="1404">
        <v>2420</v>
      </c>
      <c r="I202" s="1405">
        <v>2420</v>
      </c>
      <c r="J202" s="1405">
        <f t="shared" si="32"/>
        <v>2420</v>
      </c>
      <c r="K202" s="1405">
        <f t="shared" si="32"/>
        <v>2420</v>
      </c>
      <c r="L202" s="1405">
        <f t="shared" si="32"/>
        <v>2420</v>
      </c>
      <c r="M202" s="1405">
        <f t="shared" si="33"/>
        <v>2662</v>
      </c>
      <c r="N202" s="1403">
        <f t="shared" si="34"/>
        <v>2662</v>
      </c>
      <c r="O202" s="1403">
        <f t="shared" si="34"/>
        <v>2662</v>
      </c>
      <c r="P202" s="1403">
        <f t="shared" si="34"/>
        <v>2662</v>
      </c>
      <c r="Q202" s="1403">
        <v>2662</v>
      </c>
      <c r="R202" s="25"/>
    </row>
    <row r="203" spans="1:18" ht="17.25">
      <c r="A203" s="608">
        <f t="shared" si="35"/>
        <v>25.040000000000006</v>
      </c>
      <c r="B203" s="80" t="s">
        <v>533</v>
      </c>
      <c r="C203" s="52" t="s">
        <v>562</v>
      </c>
      <c r="D203" s="1420"/>
      <c r="E203" s="1405"/>
      <c r="F203" s="1405"/>
      <c r="G203" s="1405"/>
      <c r="H203" s="1404">
        <v>2775</v>
      </c>
      <c r="I203" s="1405">
        <v>2775</v>
      </c>
      <c r="J203" s="1405">
        <f t="shared" si="32"/>
        <v>2775</v>
      </c>
      <c r="K203" s="1405">
        <f t="shared" si="32"/>
        <v>2775</v>
      </c>
      <c r="L203" s="1405">
        <f t="shared" si="32"/>
        <v>2775</v>
      </c>
      <c r="M203" s="1405">
        <f t="shared" si="33"/>
        <v>3052.5000000000005</v>
      </c>
      <c r="N203" s="1403">
        <f t="shared" si="34"/>
        <v>3052.5000000000005</v>
      </c>
      <c r="O203" s="1403">
        <f t="shared" si="34"/>
        <v>3052.5000000000005</v>
      </c>
      <c r="P203" s="1403">
        <f t="shared" si="34"/>
        <v>3052.5000000000005</v>
      </c>
      <c r="Q203" s="1403">
        <v>3052.5000000000005</v>
      </c>
      <c r="R203" s="25"/>
    </row>
    <row r="204" spans="1:18">
      <c r="A204" s="383">
        <v>26</v>
      </c>
      <c r="B204" s="385" t="s">
        <v>564</v>
      </c>
      <c r="C204" s="445"/>
      <c r="D204" s="1407"/>
      <c r="E204" s="1408"/>
      <c r="F204" s="1408"/>
      <c r="G204" s="1408"/>
      <c r="H204" s="1408"/>
      <c r="I204" s="1408"/>
      <c r="J204" s="1408"/>
      <c r="K204" s="1408"/>
      <c r="L204" s="1408"/>
      <c r="M204" s="1408"/>
      <c r="N204" s="1407"/>
      <c r="O204" s="1407"/>
      <c r="P204" s="1407"/>
      <c r="Q204" s="1407"/>
      <c r="R204" s="330"/>
    </row>
    <row r="205" spans="1:18" ht="17.25">
      <c r="A205" s="608">
        <f>A204+0.01</f>
        <v>26.01</v>
      </c>
      <c r="B205" s="81" t="s">
        <v>529</v>
      </c>
      <c r="C205" s="52" t="s">
        <v>562</v>
      </c>
      <c r="D205" s="1421"/>
      <c r="E205" s="1422"/>
      <c r="F205" s="1422"/>
      <c r="G205" s="1422"/>
      <c r="H205" s="1423">
        <v>1540</v>
      </c>
      <c r="I205" s="1405">
        <v>1540</v>
      </c>
      <c r="J205" s="1405">
        <f t="shared" si="32"/>
        <v>1540</v>
      </c>
      <c r="K205" s="1405">
        <f t="shared" si="32"/>
        <v>1540</v>
      </c>
      <c r="L205" s="1405">
        <f t="shared" si="32"/>
        <v>1540</v>
      </c>
      <c r="M205" s="1405">
        <f t="shared" si="33"/>
        <v>1694.0000000000002</v>
      </c>
      <c r="N205" s="1403">
        <f t="shared" si="34"/>
        <v>1694.0000000000002</v>
      </c>
      <c r="O205" s="1403">
        <f t="shared" si="34"/>
        <v>1694.0000000000002</v>
      </c>
      <c r="P205" s="1403">
        <f t="shared" si="34"/>
        <v>1694.0000000000002</v>
      </c>
      <c r="Q205" s="1403">
        <v>1694.0000000000002</v>
      </c>
      <c r="R205" s="25"/>
    </row>
    <row r="206" spans="1:18" ht="17.25">
      <c r="A206" s="608">
        <f t="shared" ref="A206:A210" si="36">A205+0.01</f>
        <v>26.020000000000003</v>
      </c>
      <c r="B206" s="81" t="s">
        <v>530</v>
      </c>
      <c r="C206" s="52" t="s">
        <v>562</v>
      </c>
      <c r="D206" s="1421"/>
      <c r="E206" s="1422"/>
      <c r="F206" s="1422"/>
      <c r="G206" s="1422"/>
      <c r="H206" s="1423">
        <v>1650</v>
      </c>
      <c r="I206" s="1405">
        <v>1650</v>
      </c>
      <c r="J206" s="1405">
        <f t="shared" si="32"/>
        <v>1650</v>
      </c>
      <c r="K206" s="1405">
        <f t="shared" si="32"/>
        <v>1650</v>
      </c>
      <c r="L206" s="1405">
        <f t="shared" si="32"/>
        <v>1650</v>
      </c>
      <c r="M206" s="1405">
        <f t="shared" si="33"/>
        <v>1815.0000000000002</v>
      </c>
      <c r="N206" s="1403">
        <f t="shared" si="34"/>
        <v>1815.0000000000002</v>
      </c>
      <c r="O206" s="1403">
        <f t="shared" si="34"/>
        <v>1815.0000000000002</v>
      </c>
      <c r="P206" s="1403">
        <f t="shared" si="34"/>
        <v>1815.0000000000002</v>
      </c>
      <c r="Q206" s="1403">
        <v>1815.0000000000002</v>
      </c>
      <c r="R206" s="25"/>
    </row>
    <row r="207" spans="1:18" ht="17.25">
      <c r="A207" s="608">
        <f t="shared" si="36"/>
        <v>26.030000000000005</v>
      </c>
      <c r="B207" s="116" t="s">
        <v>565</v>
      </c>
      <c r="C207" s="52" t="s">
        <v>562</v>
      </c>
      <c r="D207" s="25"/>
      <c r="E207" s="1424"/>
      <c r="F207" s="1424"/>
      <c r="G207" s="1424"/>
      <c r="H207" s="1424">
        <v>1760</v>
      </c>
      <c r="I207" s="1405">
        <v>1760</v>
      </c>
      <c r="J207" s="1405">
        <f t="shared" si="32"/>
        <v>1760</v>
      </c>
      <c r="K207" s="1405">
        <f t="shared" si="32"/>
        <v>1760</v>
      </c>
      <c r="L207" s="1405">
        <f t="shared" si="32"/>
        <v>1760</v>
      </c>
      <c r="M207" s="1405">
        <f t="shared" si="33"/>
        <v>1936.0000000000002</v>
      </c>
      <c r="N207" s="1403">
        <f t="shared" si="34"/>
        <v>1936.0000000000002</v>
      </c>
      <c r="O207" s="1403">
        <f t="shared" si="34"/>
        <v>1936.0000000000002</v>
      </c>
      <c r="P207" s="1403">
        <f t="shared" si="34"/>
        <v>1936.0000000000002</v>
      </c>
      <c r="Q207" s="1403">
        <v>1936.0000000000002</v>
      </c>
      <c r="R207" s="25"/>
    </row>
    <row r="208" spans="1:18" ht="17.25">
      <c r="A208" s="608">
        <f t="shared" si="36"/>
        <v>26.040000000000006</v>
      </c>
      <c r="B208" s="116" t="s">
        <v>566</v>
      </c>
      <c r="C208" s="52" t="s">
        <v>562</v>
      </c>
      <c r="D208" s="25"/>
      <c r="E208" s="1424"/>
      <c r="F208" s="1424"/>
      <c r="G208" s="1424"/>
      <c r="H208" s="1424">
        <v>2475</v>
      </c>
      <c r="I208" s="1405">
        <v>2475</v>
      </c>
      <c r="J208" s="1405">
        <f t="shared" si="32"/>
        <v>2475</v>
      </c>
      <c r="K208" s="1405">
        <f t="shared" si="32"/>
        <v>2475</v>
      </c>
      <c r="L208" s="1405">
        <f t="shared" si="32"/>
        <v>2475</v>
      </c>
      <c r="M208" s="1405">
        <f t="shared" si="33"/>
        <v>2722.5</v>
      </c>
      <c r="N208" s="1403">
        <f t="shared" si="34"/>
        <v>2722.5</v>
      </c>
      <c r="O208" s="1403">
        <f t="shared" si="34"/>
        <v>2722.5</v>
      </c>
      <c r="P208" s="1403">
        <f t="shared" si="34"/>
        <v>2722.5</v>
      </c>
      <c r="Q208" s="1403">
        <v>2722.5</v>
      </c>
      <c r="R208" s="25"/>
    </row>
    <row r="209" spans="1:18" ht="17.25">
      <c r="A209" s="608">
        <f t="shared" si="36"/>
        <v>26.050000000000008</v>
      </c>
      <c r="B209" s="116" t="s">
        <v>532</v>
      </c>
      <c r="C209" s="52" t="s">
        <v>562</v>
      </c>
      <c r="D209" s="25"/>
      <c r="E209" s="1424"/>
      <c r="F209" s="1424"/>
      <c r="G209" s="1424"/>
      <c r="H209" s="1424"/>
      <c r="I209" s="1405"/>
      <c r="J209" s="1405"/>
      <c r="K209" s="1405"/>
      <c r="L209" s="1405"/>
      <c r="M209" s="1405"/>
      <c r="N209" s="1403">
        <v>0</v>
      </c>
      <c r="O209" s="1403">
        <v>0</v>
      </c>
      <c r="P209" s="1403">
        <f t="shared" si="34"/>
        <v>0</v>
      </c>
      <c r="Q209" s="1403">
        <v>0</v>
      </c>
      <c r="R209" s="25"/>
    </row>
    <row r="210" spans="1:18" ht="17.25">
      <c r="A210" s="608">
        <f t="shared" si="36"/>
        <v>26.060000000000009</v>
      </c>
      <c r="B210" s="116" t="s">
        <v>567</v>
      </c>
      <c r="C210" s="52" t="s">
        <v>562</v>
      </c>
      <c r="D210" s="25"/>
      <c r="E210" s="1424"/>
      <c r="F210" s="1424"/>
      <c r="G210" s="1424"/>
      <c r="H210" s="1424">
        <v>2728</v>
      </c>
      <c r="I210" s="1405">
        <v>2728</v>
      </c>
      <c r="J210" s="1405">
        <f t="shared" si="32"/>
        <v>2728</v>
      </c>
      <c r="K210" s="1405">
        <f t="shared" si="32"/>
        <v>2728</v>
      </c>
      <c r="L210" s="1405">
        <f t="shared" si="32"/>
        <v>2728</v>
      </c>
      <c r="M210" s="1405">
        <f t="shared" si="33"/>
        <v>3000.8</v>
      </c>
      <c r="N210" s="1403">
        <f t="shared" si="34"/>
        <v>3000.8</v>
      </c>
      <c r="O210" s="1403">
        <f t="shared" si="34"/>
        <v>3000.8</v>
      </c>
      <c r="P210" s="1403">
        <f t="shared" si="34"/>
        <v>3000.8</v>
      </c>
      <c r="Q210" s="1403">
        <v>3000.8</v>
      </c>
      <c r="R210" s="25"/>
    </row>
    <row r="211" spans="1:18">
      <c r="A211" s="328">
        <v>27</v>
      </c>
      <c r="B211" s="581" t="s">
        <v>568</v>
      </c>
      <c r="C211" s="445"/>
      <c r="D211" s="330"/>
      <c r="E211" s="1425"/>
      <c r="F211" s="1425"/>
      <c r="G211" s="1425"/>
      <c r="H211" s="1425"/>
      <c r="I211" s="1408"/>
      <c r="J211" s="1408"/>
      <c r="K211" s="1408"/>
      <c r="L211" s="1408"/>
      <c r="M211" s="1408"/>
      <c r="N211" s="1407"/>
      <c r="O211" s="1407"/>
      <c r="P211" s="1407"/>
      <c r="Q211" s="1407"/>
      <c r="R211" s="330"/>
    </row>
    <row r="212" spans="1:18" ht="17.25">
      <c r="A212" s="608">
        <f>A211+0.01</f>
        <v>27.01</v>
      </c>
      <c r="B212" s="116" t="s">
        <v>542</v>
      </c>
      <c r="C212" s="52" t="s">
        <v>562</v>
      </c>
      <c r="D212" s="25"/>
      <c r="E212" s="1424"/>
      <c r="F212" s="1424"/>
      <c r="G212" s="1424"/>
      <c r="H212" s="1424">
        <v>300</v>
      </c>
      <c r="I212" s="1405">
        <v>300</v>
      </c>
      <c r="J212" s="1405">
        <f t="shared" si="32"/>
        <v>300</v>
      </c>
      <c r="K212" s="1405">
        <f t="shared" si="32"/>
        <v>300</v>
      </c>
      <c r="L212" s="1405">
        <f t="shared" si="32"/>
        <v>300</v>
      </c>
      <c r="M212" s="1405">
        <f t="shared" si="33"/>
        <v>330</v>
      </c>
      <c r="N212" s="1403">
        <f t="shared" si="34"/>
        <v>330</v>
      </c>
      <c r="O212" s="1403">
        <f t="shared" si="34"/>
        <v>330</v>
      </c>
      <c r="P212" s="1403">
        <f t="shared" si="34"/>
        <v>330</v>
      </c>
      <c r="Q212" s="1403">
        <v>330</v>
      </c>
      <c r="R212" s="25"/>
    </row>
    <row r="213" spans="1:18" ht="17.25">
      <c r="A213" s="608">
        <f t="shared" ref="A213:A218" si="37">A212+0.01</f>
        <v>27.020000000000003</v>
      </c>
      <c r="B213" s="116" t="s">
        <v>556</v>
      </c>
      <c r="C213" s="52" t="s">
        <v>562</v>
      </c>
      <c r="D213" s="25"/>
      <c r="E213" s="1424"/>
      <c r="F213" s="1424"/>
      <c r="G213" s="1424"/>
      <c r="H213" s="1424">
        <v>450</v>
      </c>
      <c r="I213" s="1405">
        <v>450</v>
      </c>
      <c r="J213" s="1405">
        <f t="shared" si="32"/>
        <v>450</v>
      </c>
      <c r="K213" s="1405">
        <f t="shared" si="32"/>
        <v>450</v>
      </c>
      <c r="L213" s="1405">
        <f t="shared" si="32"/>
        <v>450</v>
      </c>
      <c r="M213" s="1405">
        <f t="shared" si="33"/>
        <v>495.00000000000006</v>
      </c>
      <c r="N213" s="1403">
        <f t="shared" si="34"/>
        <v>495.00000000000006</v>
      </c>
      <c r="O213" s="1403">
        <f t="shared" si="34"/>
        <v>495.00000000000006</v>
      </c>
      <c r="P213" s="1403">
        <f t="shared" si="34"/>
        <v>495.00000000000006</v>
      </c>
      <c r="Q213" s="1403">
        <v>495.00000000000006</v>
      </c>
      <c r="R213" s="25"/>
    </row>
    <row r="214" spans="1:18" ht="17.25">
      <c r="A214" s="608">
        <f t="shared" si="37"/>
        <v>27.030000000000005</v>
      </c>
      <c r="B214" s="116" t="s">
        <v>569</v>
      </c>
      <c r="C214" s="52" t="s">
        <v>562</v>
      </c>
      <c r="D214" s="25"/>
      <c r="E214" s="1424"/>
      <c r="F214" s="1424"/>
      <c r="G214" s="1424"/>
      <c r="H214" s="1424">
        <v>750</v>
      </c>
      <c r="I214" s="1405">
        <v>750</v>
      </c>
      <c r="J214" s="1405">
        <f t="shared" si="32"/>
        <v>750</v>
      </c>
      <c r="K214" s="1405">
        <f t="shared" si="32"/>
        <v>750</v>
      </c>
      <c r="L214" s="1405">
        <f t="shared" si="32"/>
        <v>750</v>
      </c>
      <c r="M214" s="1405">
        <f t="shared" si="33"/>
        <v>825.00000000000011</v>
      </c>
      <c r="N214" s="1403">
        <f t="shared" si="34"/>
        <v>825.00000000000011</v>
      </c>
      <c r="O214" s="1403">
        <f t="shared" si="34"/>
        <v>825.00000000000011</v>
      </c>
      <c r="P214" s="1403">
        <f t="shared" si="34"/>
        <v>825.00000000000011</v>
      </c>
      <c r="Q214" s="1403">
        <v>825.00000000000011</v>
      </c>
      <c r="R214" s="25"/>
    </row>
    <row r="215" spans="1:18" ht="17.25">
      <c r="A215" s="608">
        <f t="shared" si="37"/>
        <v>27.040000000000006</v>
      </c>
      <c r="B215" s="116" t="s">
        <v>570</v>
      </c>
      <c r="C215" s="52" t="s">
        <v>562</v>
      </c>
      <c r="D215" s="25"/>
      <c r="E215" s="1424"/>
      <c r="F215" s="1424"/>
      <c r="G215" s="1424"/>
      <c r="H215" s="1424">
        <v>1250</v>
      </c>
      <c r="I215" s="1405">
        <v>1250</v>
      </c>
      <c r="J215" s="1405">
        <f t="shared" si="32"/>
        <v>1250</v>
      </c>
      <c r="K215" s="1405">
        <f t="shared" si="32"/>
        <v>1250</v>
      </c>
      <c r="L215" s="1405">
        <f t="shared" si="32"/>
        <v>1250</v>
      </c>
      <c r="M215" s="1405">
        <f t="shared" si="33"/>
        <v>1375</v>
      </c>
      <c r="N215" s="1403">
        <f t="shared" si="34"/>
        <v>1375</v>
      </c>
      <c r="O215" s="1403">
        <f t="shared" si="34"/>
        <v>1375</v>
      </c>
      <c r="P215" s="1403">
        <f t="shared" si="34"/>
        <v>1375</v>
      </c>
      <c r="Q215" s="1403">
        <v>1375</v>
      </c>
      <c r="R215" s="25"/>
    </row>
    <row r="216" spans="1:18" ht="17.25">
      <c r="A216" s="608">
        <f t="shared" si="37"/>
        <v>27.050000000000008</v>
      </c>
      <c r="B216" s="116" t="s">
        <v>571</v>
      </c>
      <c r="C216" s="52" t="s">
        <v>562</v>
      </c>
      <c r="D216" s="25"/>
      <c r="E216" s="1424"/>
      <c r="F216" s="1424"/>
      <c r="G216" s="1424"/>
      <c r="H216" s="1424">
        <v>1750</v>
      </c>
      <c r="I216" s="1405">
        <v>1750</v>
      </c>
      <c r="J216" s="1405">
        <f t="shared" si="32"/>
        <v>1750</v>
      </c>
      <c r="K216" s="1405">
        <f t="shared" si="32"/>
        <v>1750</v>
      </c>
      <c r="L216" s="1405">
        <f t="shared" si="32"/>
        <v>1750</v>
      </c>
      <c r="M216" s="1405">
        <f t="shared" si="33"/>
        <v>1925.0000000000002</v>
      </c>
      <c r="N216" s="1403">
        <f t="shared" si="34"/>
        <v>1925.0000000000002</v>
      </c>
      <c r="O216" s="1403">
        <f t="shared" si="34"/>
        <v>1925.0000000000002</v>
      </c>
      <c r="P216" s="1403">
        <f t="shared" si="34"/>
        <v>1925.0000000000002</v>
      </c>
      <c r="Q216" s="1403">
        <v>1925.0000000000002</v>
      </c>
      <c r="R216" s="25"/>
    </row>
    <row r="217" spans="1:18" ht="17.25">
      <c r="A217" s="608">
        <f t="shared" si="37"/>
        <v>27.060000000000009</v>
      </c>
      <c r="B217" s="116" t="s">
        <v>572</v>
      </c>
      <c r="C217" s="52" t="s">
        <v>562</v>
      </c>
      <c r="D217" s="25"/>
      <c r="E217" s="1424"/>
      <c r="F217" s="1424"/>
      <c r="G217" s="1424"/>
      <c r="H217" s="1424">
        <v>2350</v>
      </c>
      <c r="I217" s="1405">
        <v>2350</v>
      </c>
      <c r="J217" s="1405">
        <f t="shared" si="32"/>
        <v>2350</v>
      </c>
      <c r="K217" s="1405">
        <f t="shared" si="32"/>
        <v>2350</v>
      </c>
      <c r="L217" s="1405">
        <f t="shared" si="32"/>
        <v>2350</v>
      </c>
      <c r="M217" s="1405">
        <f t="shared" si="33"/>
        <v>2585</v>
      </c>
      <c r="N217" s="1403">
        <f t="shared" si="34"/>
        <v>2585</v>
      </c>
      <c r="O217" s="1403">
        <f t="shared" si="34"/>
        <v>2585</v>
      </c>
      <c r="P217" s="1403">
        <f t="shared" si="34"/>
        <v>2585</v>
      </c>
      <c r="Q217" s="1403">
        <v>2585</v>
      </c>
      <c r="R217" s="25"/>
    </row>
    <row r="218" spans="1:18" ht="17.25">
      <c r="A218" s="608">
        <f t="shared" si="37"/>
        <v>27.070000000000011</v>
      </c>
      <c r="B218" s="116" t="s">
        <v>531</v>
      </c>
      <c r="C218" s="52" t="s">
        <v>562</v>
      </c>
      <c r="D218" s="25"/>
      <c r="E218" s="1424"/>
      <c r="F218" s="1424"/>
      <c r="G218" s="1424"/>
      <c r="H218" s="1424">
        <v>5500</v>
      </c>
      <c r="I218" s="1405">
        <v>5500</v>
      </c>
      <c r="J218" s="1405">
        <f t="shared" si="32"/>
        <v>5500</v>
      </c>
      <c r="K218" s="1405">
        <f t="shared" si="32"/>
        <v>5500</v>
      </c>
      <c r="L218" s="1405">
        <f t="shared" si="32"/>
        <v>5500</v>
      </c>
      <c r="M218" s="1405">
        <f t="shared" si="33"/>
        <v>6050.0000000000009</v>
      </c>
      <c r="N218" s="1403">
        <f t="shared" si="34"/>
        <v>6050.0000000000009</v>
      </c>
      <c r="O218" s="1403">
        <f t="shared" si="34"/>
        <v>6050.0000000000009</v>
      </c>
      <c r="P218" s="1403">
        <f t="shared" si="34"/>
        <v>6050.0000000000009</v>
      </c>
      <c r="Q218" s="1403">
        <v>6050.0000000000009</v>
      </c>
      <c r="R218" s="25"/>
    </row>
    <row r="219" spans="1:18">
      <c r="A219" s="328">
        <v>28</v>
      </c>
      <c r="B219" s="581" t="s">
        <v>573</v>
      </c>
      <c r="C219" s="445"/>
      <c r="D219" s="330"/>
      <c r="E219" s="1425"/>
      <c r="F219" s="1425"/>
      <c r="G219" s="1425"/>
      <c r="H219" s="1425"/>
      <c r="I219" s="1408"/>
      <c r="J219" s="1408"/>
      <c r="K219" s="1408"/>
      <c r="L219" s="1408"/>
      <c r="M219" s="1408"/>
      <c r="N219" s="1407"/>
      <c r="O219" s="1407"/>
      <c r="P219" s="1407"/>
      <c r="Q219" s="1407"/>
      <c r="R219" s="330"/>
    </row>
    <row r="220" spans="1:18" ht="17.25">
      <c r="A220" s="608">
        <f>A219+0.01</f>
        <v>28.01</v>
      </c>
      <c r="B220" s="116" t="s">
        <v>574</v>
      </c>
      <c r="C220" s="52" t="s">
        <v>562</v>
      </c>
      <c r="D220" s="25"/>
      <c r="E220" s="1424"/>
      <c r="F220" s="1424"/>
      <c r="G220" s="1424"/>
      <c r="H220" s="1424">
        <v>250</v>
      </c>
      <c r="I220" s="1405">
        <v>250</v>
      </c>
      <c r="J220" s="1405">
        <f t="shared" si="32"/>
        <v>250</v>
      </c>
      <c r="K220" s="1405">
        <f t="shared" si="32"/>
        <v>250</v>
      </c>
      <c r="L220" s="1405">
        <f t="shared" si="32"/>
        <v>250</v>
      </c>
      <c r="M220" s="1405">
        <f t="shared" si="33"/>
        <v>275</v>
      </c>
      <c r="N220" s="1403">
        <f t="shared" si="34"/>
        <v>275</v>
      </c>
      <c r="O220" s="1403">
        <f t="shared" si="34"/>
        <v>275</v>
      </c>
      <c r="P220" s="1403">
        <f t="shared" si="34"/>
        <v>275</v>
      </c>
      <c r="Q220" s="1403">
        <v>275</v>
      </c>
      <c r="R220" s="25"/>
    </row>
    <row r="221" spans="1:18" ht="17.25">
      <c r="A221" s="608">
        <f t="shared" ref="A221:A224" si="38">A220+0.01</f>
        <v>28.020000000000003</v>
      </c>
      <c r="B221" s="116" t="s">
        <v>575</v>
      </c>
      <c r="C221" s="52" t="s">
        <v>562</v>
      </c>
      <c r="D221" s="25"/>
      <c r="E221" s="1424"/>
      <c r="F221" s="1424"/>
      <c r="G221" s="1424"/>
      <c r="H221" s="1424">
        <v>250</v>
      </c>
      <c r="I221" s="1405">
        <v>250</v>
      </c>
      <c r="J221" s="1405">
        <f t="shared" si="32"/>
        <v>250</v>
      </c>
      <c r="K221" s="1405">
        <f t="shared" si="32"/>
        <v>250</v>
      </c>
      <c r="L221" s="1405">
        <f t="shared" si="32"/>
        <v>250</v>
      </c>
      <c r="M221" s="1405">
        <f t="shared" si="33"/>
        <v>275</v>
      </c>
      <c r="N221" s="1403">
        <f t="shared" si="34"/>
        <v>275</v>
      </c>
      <c r="O221" s="1403">
        <f t="shared" si="34"/>
        <v>275</v>
      </c>
      <c r="P221" s="1403">
        <f t="shared" si="34"/>
        <v>275</v>
      </c>
      <c r="Q221" s="1403">
        <v>275</v>
      </c>
      <c r="R221" s="25"/>
    </row>
    <row r="222" spans="1:18" ht="17.25">
      <c r="A222" s="608">
        <f t="shared" si="38"/>
        <v>28.030000000000005</v>
      </c>
      <c r="B222" s="116" t="s">
        <v>1958</v>
      </c>
      <c r="C222" s="52" t="s">
        <v>562</v>
      </c>
      <c r="D222" s="25"/>
      <c r="E222" s="1424"/>
      <c r="F222" s="1424"/>
      <c r="G222" s="1424"/>
      <c r="H222" s="1424">
        <v>275</v>
      </c>
      <c r="I222" s="1405">
        <v>275</v>
      </c>
      <c r="J222" s="1405">
        <f t="shared" si="32"/>
        <v>275</v>
      </c>
      <c r="K222" s="1405">
        <f t="shared" si="32"/>
        <v>275</v>
      </c>
      <c r="L222" s="1405">
        <f t="shared" si="32"/>
        <v>275</v>
      </c>
      <c r="M222" s="1405">
        <f t="shared" si="33"/>
        <v>302.5</v>
      </c>
      <c r="N222" s="1403">
        <f t="shared" si="34"/>
        <v>302.5</v>
      </c>
      <c r="O222" s="1403">
        <f t="shared" si="34"/>
        <v>302.5</v>
      </c>
      <c r="P222" s="1403">
        <f t="shared" si="34"/>
        <v>302.5</v>
      </c>
      <c r="Q222" s="1403">
        <v>302.5</v>
      </c>
      <c r="R222" s="25"/>
    </row>
    <row r="223" spans="1:18" ht="17.25">
      <c r="A223" s="608">
        <f t="shared" si="38"/>
        <v>28.040000000000006</v>
      </c>
      <c r="B223" s="116" t="s">
        <v>576</v>
      </c>
      <c r="C223" s="52" t="s">
        <v>562</v>
      </c>
      <c r="D223" s="25"/>
      <c r="E223" s="1424"/>
      <c r="F223" s="1424"/>
      <c r="G223" s="1424"/>
      <c r="H223" s="1424">
        <v>350</v>
      </c>
      <c r="I223" s="1405">
        <v>350</v>
      </c>
      <c r="J223" s="1405">
        <f t="shared" si="32"/>
        <v>350</v>
      </c>
      <c r="K223" s="1405">
        <f t="shared" si="32"/>
        <v>350</v>
      </c>
      <c r="L223" s="1405">
        <f t="shared" si="32"/>
        <v>350</v>
      </c>
      <c r="M223" s="1405">
        <f t="shared" si="33"/>
        <v>385.00000000000006</v>
      </c>
      <c r="N223" s="1403">
        <f t="shared" si="34"/>
        <v>385.00000000000006</v>
      </c>
      <c r="O223" s="1403">
        <f t="shared" si="34"/>
        <v>385.00000000000006</v>
      </c>
      <c r="P223" s="1403">
        <f t="shared" si="34"/>
        <v>385.00000000000006</v>
      </c>
      <c r="Q223" s="1403">
        <v>385.00000000000006</v>
      </c>
      <c r="R223" s="25"/>
    </row>
    <row r="224" spans="1:18" ht="17.25">
      <c r="A224" s="608">
        <f t="shared" si="38"/>
        <v>28.050000000000008</v>
      </c>
      <c r="B224" s="116" t="s">
        <v>577</v>
      </c>
      <c r="C224" s="52" t="s">
        <v>562</v>
      </c>
      <c r="D224" s="25"/>
      <c r="E224" s="1424"/>
      <c r="F224" s="1424"/>
      <c r="G224" s="1424"/>
      <c r="H224" s="1424">
        <v>400</v>
      </c>
      <c r="I224" s="1405">
        <v>400</v>
      </c>
      <c r="J224" s="1405">
        <f t="shared" si="32"/>
        <v>400</v>
      </c>
      <c r="K224" s="1405">
        <f t="shared" si="32"/>
        <v>400</v>
      </c>
      <c r="L224" s="1405">
        <f t="shared" si="32"/>
        <v>400</v>
      </c>
      <c r="M224" s="1405">
        <f t="shared" si="33"/>
        <v>440.00000000000006</v>
      </c>
      <c r="N224" s="1403">
        <f t="shared" si="34"/>
        <v>440.00000000000006</v>
      </c>
      <c r="O224" s="1403">
        <f t="shared" si="34"/>
        <v>440.00000000000006</v>
      </c>
      <c r="P224" s="1403">
        <f t="shared" si="34"/>
        <v>440.00000000000006</v>
      </c>
      <c r="Q224" s="1403">
        <v>440.00000000000006</v>
      </c>
      <c r="R224" s="25"/>
    </row>
    <row r="225" spans="1:18" ht="39">
      <c r="A225" s="466">
        <v>29</v>
      </c>
      <c r="B225" s="590" t="s">
        <v>1959</v>
      </c>
      <c r="C225" s="591"/>
      <c r="D225" s="445"/>
      <c r="E225" s="1426"/>
      <c r="F225" s="1426"/>
      <c r="G225" s="1426"/>
      <c r="H225" s="1426"/>
      <c r="I225" s="1427"/>
      <c r="J225" s="1427"/>
      <c r="K225" s="1427"/>
      <c r="L225" s="1427"/>
      <c r="M225" s="1427"/>
      <c r="N225" s="1428"/>
      <c r="O225" s="1428"/>
      <c r="P225" s="1428"/>
      <c r="Q225" s="1428"/>
      <c r="R225" s="445"/>
    </row>
    <row r="226" spans="1:18" ht="17.25">
      <c r="A226" s="608">
        <f>A225+0.01</f>
        <v>29.01</v>
      </c>
      <c r="B226" s="310" t="s">
        <v>578</v>
      </c>
      <c r="C226" s="52" t="s">
        <v>519</v>
      </c>
      <c r="D226" s="25"/>
      <c r="E226" s="1424"/>
      <c r="F226" s="1424"/>
      <c r="G226" s="1424"/>
      <c r="H226" s="1424">
        <v>936</v>
      </c>
      <c r="I226" s="1405">
        <v>936</v>
      </c>
      <c r="J226" s="1405">
        <f t="shared" si="32"/>
        <v>936</v>
      </c>
      <c r="K226" s="1405">
        <f t="shared" si="32"/>
        <v>936</v>
      </c>
      <c r="L226" s="1405">
        <f t="shared" si="32"/>
        <v>936</v>
      </c>
      <c r="M226" s="1405">
        <f t="shared" si="33"/>
        <v>1029.6000000000001</v>
      </c>
      <c r="N226" s="1403">
        <f t="shared" si="34"/>
        <v>1029.6000000000001</v>
      </c>
      <c r="O226" s="1403">
        <f t="shared" si="34"/>
        <v>1029.6000000000001</v>
      </c>
      <c r="P226" s="1403">
        <f t="shared" si="34"/>
        <v>1029.6000000000001</v>
      </c>
      <c r="Q226" s="1403">
        <v>1029.6000000000001</v>
      </c>
      <c r="R226" s="25"/>
    </row>
    <row r="227" spans="1:18" ht="17.25">
      <c r="A227" s="608">
        <f t="shared" ref="A227:A287" si="39">A226+0.01</f>
        <v>29.020000000000003</v>
      </c>
      <c r="B227" s="310" t="s">
        <v>579</v>
      </c>
      <c r="C227" s="52" t="s">
        <v>519</v>
      </c>
      <c r="D227" s="25"/>
      <c r="E227" s="1424"/>
      <c r="F227" s="1424"/>
      <c r="G227" s="1424"/>
      <c r="H227" s="1424">
        <v>1120</v>
      </c>
      <c r="I227" s="1405">
        <v>1120</v>
      </c>
      <c r="J227" s="1405">
        <f t="shared" si="32"/>
        <v>1120</v>
      </c>
      <c r="K227" s="1405">
        <f t="shared" si="32"/>
        <v>1120</v>
      </c>
      <c r="L227" s="1405">
        <f t="shared" si="32"/>
        <v>1120</v>
      </c>
      <c r="M227" s="1405">
        <f t="shared" si="33"/>
        <v>1232</v>
      </c>
      <c r="N227" s="1403">
        <f t="shared" si="34"/>
        <v>1232</v>
      </c>
      <c r="O227" s="1403">
        <f t="shared" si="34"/>
        <v>1232</v>
      </c>
      <c r="P227" s="1403">
        <f t="shared" si="34"/>
        <v>1232</v>
      </c>
      <c r="Q227" s="1403">
        <v>1232</v>
      </c>
      <c r="R227" s="25"/>
    </row>
    <row r="228" spans="1:18" ht="17.25">
      <c r="A228" s="608">
        <f t="shared" si="39"/>
        <v>29.030000000000005</v>
      </c>
      <c r="B228" s="310" t="s">
        <v>580</v>
      </c>
      <c r="C228" s="52" t="s">
        <v>519</v>
      </c>
      <c r="D228" s="25"/>
      <c r="E228" s="1424"/>
      <c r="F228" s="1424"/>
      <c r="G228" s="1424"/>
      <c r="H228" s="1424">
        <v>984</v>
      </c>
      <c r="I228" s="1405">
        <v>984</v>
      </c>
      <c r="J228" s="1405">
        <f t="shared" si="32"/>
        <v>984</v>
      </c>
      <c r="K228" s="1405">
        <f t="shared" si="32"/>
        <v>984</v>
      </c>
      <c r="L228" s="1405">
        <f t="shared" si="32"/>
        <v>984</v>
      </c>
      <c r="M228" s="1405">
        <f t="shared" si="33"/>
        <v>1082.4000000000001</v>
      </c>
      <c r="N228" s="1403">
        <f t="shared" si="34"/>
        <v>1082.4000000000001</v>
      </c>
      <c r="O228" s="1403">
        <f t="shared" si="34"/>
        <v>1082.4000000000001</v>
      </c>
      <c r="P228" s="1403">
        <f t="shared" si="34"/>
        <v>1082.4000000000001</v>
      </c>
      <c r="Q228" s="1403">
        <v>1082.4000000000001</v>
      </c>
      <c r="R228" s="25"/>
    </row>
    <row r="229" spans="1:18" ht="17.25">
      <c r="A229" s="608">
        <f t="shared" si="39"/>
        <v>29.040000000000006</v>
      </c>
      <c r="B229" s="310" t="s">
        <v>581</v>
      </c>
      <c r="C229" s="52" t="s">
        <v>519</v>
      </c>
      <c r="D229" s="25"/>
      <c r="E229" s="1424"/>
      <c r="F229" s="1424"/>
      <c r="G229" s="1424"/>
      <c r="H229" s="1424">
        <v>1170</v>
      </c>
      <c r="I229" s="1405">
        <v>1170</v>
      </c>
      <c r="J229" s="1405">
        <f t="shared" si="32"/>
        <v>1170</v>
      </c>
      <c r="K229" s="1405">
        <f t="shared" si="32"/>
        <v>1170</v>
      </c>
      <c r="L229" s="1405">
        <f t="shared" si="32"/>
        <v>1170</v>
      </c>
      <c r="M229" s="1405">
        <f t="shared" si="33"/>
        <v>1287</v>
      </c>
      <c r="N229" s="1403">
        <f t="shared" si="34"/>
        <v>1287</v>
      </c>
      <c r="O229" s="1403">
        <f t="shared" si="34"/>
        <v>1287</v>
      </c>
      <c r="P229" s="1403">
        <f t="shared" si="34"/>
        <v>1287</v>
      </c>
      <c r="Q229" s="1403">
        <v>1287</v>
      </c>
      <c r="R229" s="25"/>
    </row>
    <row r="230" spans="1:18" ht="17.25">
      <c r="A230" s="608">
        <f t="shared" si="39"/>
        <v>29.050000000000008</v>
      </c>
      <c r="B230" s="310" t="s">
        <v>582</v>
      </c>
      <c r="C230" s="52" t="s">
        <v>519</v>
      </c>
      <c r="D230" s="25"/>
      <c r="E230" s="1424"/>
      <c r="F230" s="1424"/>
      <c r="G230" s="1424"/>
      <c r="H230" s="1424">
        <v>1300</v>
      </c>
      <c r="I230" s="1405">
        <v>1300</v>
      </c>
      <c r="J230" s="1405">
        <f t="shared" si="32"/>
        <v>1300</v>
      </c>
      <c r="K230" s="1405">
        <f t="shared" si="32"/>
        <v>1300</v>
      </c>
      <c r="L230" s="1405">
        <f t="shared" si="32"/>
        <v>1300</v>
      </c>
      <c r="M230" s="1405">
        <f t="shared" si="33"/>
        <v>1430.0000000000002</v>
      </c>
      <c r="N230" s="1403">
        <f t="shared" si="34"/>
        <v>1430.0000000000002</v>
      </c>
      <c r="O230" s="1403">
        <f t="shared" si="34"/>
        <v>1430.0000000000002</v>
      </c>
      <c r="P230" s="1403">
        <f t="shared" si="34"/>
        <v>1430.0000000000002</v>
      </c>
      <c r="Q230" s="1403">
        <v>1430.0000000000002</v>
      </c>
      <c r="R230" s="25"/>
    </row>
    <row r="231" spans="1:18" ht="17.25">
      <c r="A231" s="608">
        <f t="shared" si="39"/>
        <v>29.060000000000009</v>
      </c>
      <c r="B231" s="310" t="s">
        <v>583</v>
      </c>
      <c r="C231" s="52" t="s">
        <v>519</v>
      </c>
      <c r="D231" s="25"/>
      <c r="E231" s="1424"/>
      <c r="F231" s="1424"/>
      <c r="G231" s="1424"/>
      <c r="H231" s="1424">
        <v>1012</v>
      </c>
      <c r="I231" s="1405">
        <v>1012</v>
      </c>
      <c r="J231" s="1405">
        <f t="shared" si="32"/>
        <v>1012</v>
      </c>
      <c r="K231" s="1405">
        <f t="shared" si="32"/>
        <v>1012</v>
      </c>
      <c r="L231" s="1405">
        <f t="shared" si="32"/>
        <v>1012</v>
      </c>
      <c r="M231" s="1405">
        <f t="shared" si="33"/>
        <v>1113.2</v>
      </c>
      <c r="N231" s="1403">
        <f t="shared" si="34"/>
        <v>1113.2</v>
      </c>
      <c r="O231" s="1403">
        <f t="shared" si="34"/>
        <v>1113.2</v>
      </c>
      <c r="P231" s="1403">
        <f t="shared" si="34"/>
        <v>1113.2</v>
      </c>
      <c r="Q231" s="1403">
        <v>1113.2</v>
      </c>
      <c r="R231" s="25"/>
    </row>
    <row r="232" spans="1:18" ht="17.25">
      <c r="A232" s="608">
        <f t="shared" si="39"/>
        <v>29.070000000000011</v>
      </c>
      <c r="B232" s="310" t="s">
        <v>584</v>
      </c>
      <c r="C232" s="52" t="s">
        <v>519</v>
      </c>
      <c r="D232" s="25"/>
      <c r="E232" s="1424"/>
      <c r="F232" s="1424"/>
      <c r="G232" s="1424"/>
      <c r="H232" s="1424">
        <v>1196</v>
      </c>
      <c r="I232" s="1405">
        <v>1196</v>
      </c>
      <c r="J232" s="1405">
        <f t="shared" si="32"/>
        <v>1196</v>
      </c>
      <c r="K232" s="1405">
        <f t="shared" si="32"/>
        <v>1196</v>
      </c>
      <c r="L232" s="1405">
        <f t="shared" si="32"/>
        <v>1196</v>
      </c>
      <c r="M232" s="1405">
        <f t="shared" si="33"/>
        <v>1315.6000000000001</v>
      </c>
      <c r="N232" s="1403">
        <f t="shared" si="34"/>
        <v>1315.6000000000001</v>
      </c>
      <c r="O232" s="1403">
        <f t="shared" si="34"/>
        <v>1315.6000000000001</v>
      </c>
      <c r="P232" s="1403">
        <f t="shared" si="34"/>
        <v>1315.6000000000001</v>
      </c>
      <c r="Q232" s="1403">
        <v>1315.6000000000001</v>
      </c>
      <c r="R232" s="25"/>
    </row>
    <row r="233" spans="1:18" ht="17.25">
      <c r="A233" s="608">
        <f t="shared" si="39"/>
        <v>29.080000000000013</v>
      </c>
      <c r="B233" s="310" t="s">
        <v>585</v>
      </c>
      <c r="C233" s="52" t="s">
        <v>519</v>
      </c>
      <c r="D233" s="25"/>
      <c r="E233" s="1424"/>
      <c r="F233" s="1424"/>
      <c r="G233" s="1424"/>
      <c r="H233" s="1424">
        <v>1328</v>
      </c>
      <c r="I233" s="1405">
        <v>1328</v>
      </c>
      <c r="J233" s="1405">
        <f t="shared" si="32"/>
        <v>1328</v>
      </c>
      <c r="K233" s="1405">
        <f t="shared" si="32"/>
        <v>1328</v>
      </c>
      <c r="L233" s="1405">
        <f t="shared" si="32"/>
        <v>1328</v>
      </c>
      <c r="M233" s="1405">
        <f t="shared" si="33"/>
        <v>1460.8000000000002</v>
      </c>
      <c r="N233" s="1403">
        <f t="shared" si="34"/>
        <v>1460.8000000000002</v>
      </c>
      <c r="O233" s="1403">
        <f t="shared" si="34"/>
        <v>1460.8000000000002</v>
      </c>
      <c r="P233" s="1403">
        <f t="shared" si="34"/>
        <v>1460.8000000000002</v>
      </c>
      <c r="Q233" s="1403">
        <v>1460.8000000000002</v>
      </c>
      <c r="R233" s="25"/>
    </row>
    <row r="234" spans="1:18" ht="17.25">
      <c r="A234" s="608">
        <f t="shared" si="39"/>
        <v>29.090000000000014</v>
      </c>
      <c r="B234" s="310" t="s">
        <v>586</v>
      </c>
      <c r="C234" s="52" t="s">
        <v>519</v>
      </c>
      <c r="D234" s="25"/>
      <c r="E234" s="1424"/>
      <c r="F234" s="1424"/>
      <c r="G234" s="1424"/>
      <c r="H234" s="1424">
        <v>1508</v>
      </c>
      <c r="I234" s="1405">
        <v>1508</v>
      </c>
      <c r="J234" s="1405">
        <f t="shared" si="32"/>
        <v>1508</v>
      </c>
      <c r="K234" s="1405">
        <f t="shared" si="32"/>
        <v>1508</v>
      </c>
      <c r="L234" s="1405">
        <f t="shared" si="32"/>
        <v>1508</v>
      </c>
      <c r="M234" s="1405">
        <f t="shared" si="33"/>
        <v>1658.8000000000002</v>
      </c>
      <c r="N234" s="1403">
        <f t="shared" si="34"/>
        <v>1658.8000000000002</v>
      </c>
      <c r="O234" s="1403">
        <f t="shared" si="34"/>
        <v>1658.8000000000002</v>
      </c>
      <c r="P234" s="1403">
        <f t="shared" si="34"/>
        <v>1658.8000000000002</v>
      </c>
      <c r="Q234" s="1403">
        <v>1658.8000000000002</v>
      </c>
      <c r="R234" s="25"/>
    </row>
    <row r="235" spans="1:18" ht="17.25">
      <c r="A235" s="608">
        <f t="shared" si="39"/>
        <v>29.100000000000016</v>
      </c>
      <c r="B235" s="310" t="s">
        <v>587</v>
      </c>
      <c r="C235" s="52" t="s">
        <v>519</v>
      </c>
      <c r="D235" s="25"/>
      <c r="E235" s="1424"/>
      <c r="F235" s="1424"/>
      <c r="G235" s="1424"/>
      <c r="H235" s="1424">
        <v>1344</v>
      </c>
      <c r="I235" s="1405">
        <v>1344</v>
      </c>
      <c r="J235" s="1405">
        <f t="shared" si="32"/>
        <v>1344</v>
      </c>
      <c r="K235" s="1405">
        <f t="shared" si="32"/>
        <v>1344</v>
      </c>
      <c r="L235" s="1405">
        <f t="shared" si="32"/>
        <v>1344</v>
      </c>
      <c r="M235" s="1405">
        <f t="shared" si="33"/>
        <v>1478.4</v>
      </c>
      <c r="N235" s="1403">
        <f t="shared" si="34"/>
        <v>1478.4</v>
      </c>
      <c r="O235" s="1403">
        <f t="shared" si="34"/>
        <v>1478.4</v>
      </c>
      <c r="P235" s="1403">
        <f t="shared" si="34"/>
        <v>1478.4</v>
      </c>
      <c r="Q235" s="1403">
        <v>1478.4</v>
      </c>
      <c r="R235" s="25"/>
    </row>
    <row r="236" spans="1:18" ht="17.25">
      <c r="A236" s="608">
        <f t="shared" si="39"/>
        <v>29.110000000000017</v>
      </c>
      <c r="B236" s="310" t="s">
        <v>588</v>
      </c>
      <c r="C236" s="52" t="s">
        <v>519</v>
      </c>
      <c r="D236" s="25"/>
      <c r="E236" s="1424"/>
      <c r="F236" s="1424"/>
      <c r="G236" s="1424"/>
      <c r="H236" s="1424">
        <v>1528</v>
      </c>
      <c r="I236" s="1405">
        <v>1528</v>
      </c>
      <c r="J236" s="1405">
        <f t="shared" si="32"/>
        <v>1528</v>
      </c>
      <c r="K236" s="1405">
        <f t="shared" si="32"/>
        <v>1528</v>
      </c>
      <c r="L236" s="1405">
        <f t="shared" si="32"/>
        <v>1528</v>
      </c>
      <c r="M236" s="1405">
        <f t="shared" si="33"/>
        <v>1680.8000000000002</v>
      </c>
      <c r="N236" s="1403">
        <f t="shared" si="34"/>
        <v>1680.8000000000002</v>
      </c>
      <c r="O236" s="1403">
        <f t="shared" si="34"/>
        <v>1680.8000000000002</v>
      </c>
      <c r="P236" s="1403">
        <f t="shared" si="34"/>
        <v>1680.8000000000002</v>
      </c>
      <c r="Q236" s="1403">
        <v>1680.8000000000002</v>
      </c>
      <c r="R236" s="25"/>
    </row>
    <row r="237" spans="1:18" ht="17.25">
      <c r="A237" s="608">
        <f t="shared" si="39"/>
        <v>29.120000000000019</v>
      </c>
      <c r="B237" s="310" t="s">
        <v>589</v>
      </c>
      <c r="C237" s="52" t="s">
        <v>519</v>
      </c>
      <c r="D237" s="25"/>
      <c r="E237" s="1424"/>
      <c r="F237" s="1424"/>
      <c r="G237" s="1424"/>
      <c r="H237" s="1424">
        <v>1660</v>
      </c>
      <c r="I237" s="1405">
        <v>1660</v>
      </c>
      <c r="J237" s="1405">
        <f t="shared" si="32"/>
        <v>1660</v>
      </c>
      <c r="K237" s="1405">
        <f t="shared" si="32"/>
        <v>1660</v>
      </c>
      <c r="L237" s="1405">
        <f t="shared" si="32"/>
        <v>1660</v>
      </c>
      <c r="M237" s="1405">
        <f t="shared" si="33"/>
        <v>1826.0000000000002</v>
      </c>
      <c r="N237" s="1403">
        <f t="shared" si="34"/>
        <v>1826.0000000000002</v>
      </c>
      <c r="O237" s="1403">
        <f t="shared" si="34"/>
        <v>1826.0000000000002</v>
      </c>
      <c r="P237" s="1403">
        <f t="shared" si="34"/>
        <v>1826.0000000000002</v>
      </c>
      <c r="Q237" s="1403">
        <v>1826.0000000000002</v>
      </c>
      <c r="R237" s="25"/>
    </row>
    <row r="238" spans="1:18" ht="17.25">
      <c r="A238" s="608">
        <f t="shared" si="39"/>
        <v>29.13000000000002</v>
      </c>
      <c r="B238" s="310" t="s">
        <v>590</v>
      </c>
      <c r="C238" s="52" t="s">
        <v>519</v>
      </c>
      <c r="D238" s="25"/>
      <c r="E238" s="1424"/>
      <c r="F238" s="1424"/>
      <c r="G238" s="1424"/>
      <c r="H238" s="1424">
        <v>1840</v>
      </c>
      <c r="I238" s="1405">
        <v>1840</v>
      </c>
      <c r="J238" s="1405">
        <f t="shared" si="32"/>
        <v>1840</v>
      </c>
      <c r="K238" s="1405">
        <f t="shared" si="32"/>
        <v>1840</v>
      </c>
      <c r="L238" s="1405">
        <f t="shared" si="32"/>
        <v>1840</v>
      </c>
      <c r="M238" s="1405">
        <f t="shared" si="33"/>
        <v>2024.0000000000002</v>
      </c>
      <c r="N238" s="1403">
        <f t="shared" si="34"/>
        <v>2024.0000000000002</v>
      </c>
      <c r="O238" s="1403">
        <f t="shared" si="34"/>
        <v>2024.0000000000002</v>
      </c>
      <c r="P238" s="1403">
        <f t="shared" si="34"/>
        <v>2024.0000000000002</v>
      </c>
      <c r="Q238" s="1403">
        <v>2024.0000000000002</v>
      </c>
      <c r="R238" s="25"/>
    </row>
    <row r="239" spans="1:18" ht="17.25">
      <c r="A239" s="608">
        <f t="shared" si="39"/>
        <v>29.140000000000022</v>
      </c>
      <c r="B239" s="310" t="s">
        <v>591</v>
      </c>
      <c r="C239" s="52" t="s">
        <v>519</v>
      </c>
      <c r="D239" s="25"/>
      <c r="E239" s="1424"/>
      <c r="F239" s="1424"/>
      <c r="G239" s="1424"/>
      <c r="H239" s="1424">
        <v>2208</v>
      </c>
      <c r="I239" s="1405">
        <v>2208</v>
      </c>
      <c r="J239" s="1405">
        <f t="shared" si="32"/>
        <v>2208</v>
      </c>
      <c r="K239" s="1405">
        <f t="shared" si="32"/>
        <v>2208</v>
      </c>
      <c r="L239" s="1405">
        <f t="shared" si="32"/>
        <v>2208</v>
      </c>
      <c r="M239" s="1405">
        <f t="shared" si="33"/>
        <v>2428.8000000000002</v>
      </c>
      <c r="N239" s="1403">
        <f t="shared" si="34"/>
        <v>2428.8000000000002</v>
      </c>
      <c r="O239" s="1403">
        <f t="shared" si="34"/>
        <v>2428.8000000000002</v>
      </c>
      <c r="P239" s="1403">
        <f t="shared" si="34"/>
        <v>2428.8000000000002</v>
      </c>
      <c r="Q239" s="1403">
        <v>2428.8000000000002</v>
      </c>
      <c r="R239" s="25"/>
    </row>
    <row r="240" spans="1:18" ht="17.25">
      <c r="A240" s="608">
        <f t="shared" si="39"/>
        <v>29.150000000000023</v>
      </c>
      <c r="B240" s="310" t="s">
        <v>592</v>
      </c>
      <c r="C240" s="52" t="s">
        <v>519</v>
      </c>
      <c r="D240" s="25"/>
      <c r="E240" s="1424"/>
      <c r="F240" s="1424"/>
      <c r="G240" s="1424"/>
      <c r="H240" s="1424">
        <v>1456</v>
      </c>
      <c r="I240" s="1405">
        <v>1456</v>
      </c>
      <c r="J240" s="1405">
        <f t="shared" si="32"/>
        <v>1456</v>
      </c>
      <c r="K240" s="1405">
        <f t="shared" si="32"/>
        <v>1456</v>
      </c>
      <c r="L240" s="1405">
        <f t="shared" si="32"/>
        <v>1456</v>
      </c>
      <c r="M240" s="1405">
        <f t="shared" si="33"/>
        <v>1601.6000000000001</v>
      </c>
      <c r="N240" s="1403">
        <f t="shared" si="34"/>
        <v>1601.6000000000001</v>
      </c>
      <c r="O240" s="1403">
        <f t="shared" si="34"/>
        <v>1601.6000000000001</v>
      </c>
      <c r="P240" s="1403">
        <f t="shared" si="34"/>
        <v>1601.6000000000001</v>
      </c>
      <c r="Q240" s="1403">
        <v>1601.6000000000001</v>
      </c>
      <c r="R240" s="25"/>
    </row>
    <row r="241" spans="1:18" ht="17.25">
      <c r="A241" s="608">
        <f t="shared" si="39"/>
        <v>29.160000000000025</v>
      </c>
      <c r="B241" s="310" t="s">
        <v>593</v>
      </c>
      <c r="C241" s="52" t="s">
        <v>519</v>
      </c>
      <c r="D241" s="25"/>
      <c r="E241" s="1424"/>
      <c r="F241" s="1424"/>
      <c r="G241" s="1424"/>
      <c r="H241" s="1424">
        <v>1640</v>
      </c>
      <c r="I241" s="1405">
        <v>1640</v>
      </c>
      <c r="J241" s="1405">
        <f t="shared" si="32"/>
        <v>1640</v>
      </c>
      <c r="K241" s="1405">
        <f t="shared" si="32"/>
        <v>1640</v>
      </c>
      <c r="L241" s="1405">
        <f t="shared" si="32"/>
        <v>1640</v>
      </c>
      <c r="M241" s="1405">
        <f t="shared" si="33"/>
        <v>1804.0000000000002</v>
      </c>
      <c r="N241" s="1403">
        <f t="shared" si="34"/>
        <v>1804.0000000000002</v>
      </c>
      <c r="O241" s="1403">
        <f t="shared" si="34"/>
        <v>1804.0000000000002</v>
      </c>
      <c r="P241" s="1403">
        <f t="shared" si="34"/>
        <v>1804.0000000000002</v>
      </c>
      <c r="Q241" s="1403">
        <v>1804.0000000000002</v>
      </c>
      <c r="R241" s="25"/>
    </row>
    <row r="242" spans="1:18" ht="17.25">
      <c r="A242" s="608">
        <f t="shared" si="39"/>
        <v>29.170000000000027</v>
      </c>
      <c r="B242" s="310" t="s">
        <v>594</v>
      </c>
      <c r="C242" s="52" t="s">
        <v>519</v>
      </c>
      <c r="D242" s="25"/>
      <c r="E242" s="1424"/>
      <c r="F242" s="1424"/>
      <c r="G242" s="1424"/>
      <c r="H242" s="1424">
        <v>1772</v>
      </c>
      <c r="I242" s="1405">
        <v>1772</v>
      </c>
      <c r="J242" s="1405">
        <f t="shared" si="32"/>
        <v>1772</v>
      </c>
      <c r="K242" s="1405">
        <f t="shared" si="32"/>
        <v>1772</v>
      </c>
      <c r="L242" s="1405">
        <f t="shared" si="32"/>
        <v>1772</v>
      </c>
      <c r="M242" s="1405">
        <f t="shared" si="33"/>
        <v>1949.2</v>
      </c>
      <c r="N242" s="1403">
        <f t="shared" si="34"/>
        <v>1949.2</v>
      </c>
      <c r="O242" s="1403">
        <f t="shared" si="34"/>
        <v>1949.2</v>
      </c>
      <c r="P242" s="1403">
        <f t="shared" si="34"/>
        <v>1949.2</v>
      </c>
      <c r="Q242" s="1403">
        <v>1949.2</v>
      </c>
      <c r="R242" s="25"/>
    </row>
    <row r="243" spans="1:18" ht="17.25">
      <c r="A243" s="608">
        <f t="shared" si="39"/>
        <v>29.180000000000028</v>
      </c>
      <c r="B243" s="310" t="s">
        <v>595</v>
      </c>
      <c r="C243" s="52" t="s">
        <v>519</v>
      </c>
      <c r="D243" s="25"/>
      <c r="E243" s="1424"/>
      <c r="F243" s="1424"/>
      <c r="G243" s="1424"/>
      <c r="H243" s="1424">
        <v>1992</v>
      </c>
      <c r="I243" s="1405">
        <v>1992</v>
      </c>
      <c r="J243" s="1405">
        <f t="shared" si="32"/>
        <v>1992</v>
      </c>
      <c r="K243" s="1405">
        <f t="shared" si="32"/>
        <v>1992</v>
      </c>
      <c r="L243" s="1405">
        <f t="shared" si="32"/>
        <v>1992</v>
      </c>
      <c r="M243" s="1405">
        <f t="shared" si="33"/>
        <v>2191.2000000000003</v>
      </c>
      <c r="N243" s="1403">
        <f t="shared" si="34"/>
        <v>2191.2000000000003</v>
      </c>
      <c r="O243" s="1403">
        <f t="shared" si="34"/>
        <v>2191.2000000000003</v>
      </c>
      <c r="P243" s="1403">
        <f t="shared" si="34"/>
        <v>2191.2000000000003</v>
      </c>
      <c r="Q243" s="1403">
        <v>2191.2000000000003</v>
      </c>
      <c r="R243" s="25"/>
    </row>
    <row r="244" spans="1:18" ht="17.25">
      <c r="A244" s="608">
        <f t="shared" si="39"/>
        <v>29.19000000000003</v>
      </c>
      <c r="B244" s="310" t="s">
        <v>596</v>
      </c>
      <c r="C244" s="52" t="s">
        <v>519</v>
      </c>
      <c r="D244" s="25"/>
      <c r="E244" s="1424"/>
      <c r="F244" s="1424"/>
      <c r="G244" s="1424"/>
      <c r="H244" s="1424">
        <v>2320</v>
      </c>
      <c r="I244" s="1405">
        <v>2320</v>
      </c>
      <c r="J244" s="1405">
        <f t="shared" si="32"/>
        <v>2320</v>
      </c>
      <c r="K244" s="1405">
        <f t="shared" si="32"/>
        <v>2320</v>
      </c>
      <c r="L244" s="1405">
        <f t="shared" si="32"/>
        <v>2320</v>
      </c>
      <c r="M244" s="1405">
        <f t="shared" si="33"/>
        <v>2552</v>
      </c>
      <c r="N244" s="1403">
        <f t="shared" si="34"/>
        <v>2552</v>
      </c>
      <c r="O244" s="1403">
        <f t="shared" si="34"/>
        <v>2552</v>
      </c>
      <c r="P244" s="1403">
        <f t="shared" si="34"/>
        <v>2552</v>
      </c>
      <c r="Q244" s="1403">
        <v>2552</v>
      </c>
      <c r="R244" s="25"/>
    </row>
    <row r="245" spans="1:18" ht="17.25">
      <c r="A245" s="608">
        <f t="shared" si="39"/>
        <v>29.200000000000031</v>
      </c>
      <c r="B245" s="310" t="s">
        <v>597</v>
      </c>
      <c r="C245" s="52" t="s">
        <v>519</v>
      </c>
      <c r="D245" s="25"/>
      <c r="E245" s="1424"/>
      <c r="F245" s="1424"/>
      <c r="G245" s="1424"/>
      <c r="H245" s="1424">
        <v>2462</v>
      </c>
      <c r="I245" s="1405">
        <v>2462</v>
      </c>
      <c r="J245" s="1405">
        <f t="shared" si="32"/>
        <v>2462</v>
      </c>
      <c r="K245" s="1405">
        <f t="shared" si="32"/>
        <v>2462</v>
      </c>
      <c r="L245" s="1405">
        <f t="shared" si="32"/>
        <v>2462</v>
      </c>
      <c r="M245" s="1405">
        <f t="shared" si="33"/>
        <v>2708.2000000000003</v>
      </c>
      <c r="N245" s="1403">
        <f t="shared" si="34"/>
        <v>2708.2000000000003</v>
      </c>
      <c r="O245" s="1403">
        <f t="shared" si="34"/>
        <v>2708.2000000000003</v>
      </c>
      <c r="P245" s="1403">
        <f t="shared" si="34"/>
        <v>2708.2000000000003</v>
      </c>
      <c r="Q245" s="1403">
        <v>2708.2000000000003</v>
      </c>
      <c r="R245" s="25"/>
    </row>
    <row r="246" spans="1:18" ht="17.25">
      <c r="A246" s="608">
        <f t="shared" si="39"/>
        <v>29.210000000000033</v>
      </c>
      <c r="B246" s="310" t="s">
        <v>598</v>
      </c>
      <c r="C246" s="52" t="s">
        <v>519</v>
      </c>
      <c r="D246" s="25"/>
      <c r="E246" s="1424"/>
      <c r="F246" s="1424"/>
      <c r="G246" s="1424"/>
      <c r="H246" s="1424">
        <v>1540</v>
      </c>
      <c r="I246" s="1405">
        <v>1540</v>
      </c>
      <c r="J246" s="1405">
        <f t="shared" si="32"/>
        <v>1540</v>
      </c>
      <c r="K246" s="1405">
        <f t="shared" si="32"/>
        <v>1540</v>
      </c>
      <c r="L246" s="1405">
        <f t="shared" si="32"/>
        <v>1540</v>
      </c>
      <c r="M246" s="1405">
        <f t="shared" si="33"/>
        <v>1694.0000000000002</v>
      </c>
      <c r="N246" s="1403">
        <f t="shared" si="34"/>
        <v>1694.0000000000002</v>
      </c>
      <c r="O246" s="1403">
        <f t="shared" si="34"/>
        <v>1694.0000000000002</v>
      </c>
      <c r="P246" s="1403">
        <f t="shared" si="34"/>
        <v>1694.0000000000002</v>
      </c>
      <c r="Q246" s="1403">
        <v>1694.0000000000002</v>
      </c>
      <c r="R246" s="25"/>
    </row>
    <row r="247" spans="1:18" ht="17.25">
      <c r="A247" s="608">
        <f t="shared" si="39"/>
        <v>29.220000000000034</v>
      </c>
      <c r="B247" s="310" t="s">
        <v>599</v>
      </c>
      <c r="C247" s="52" t="s">
        <v>519</v>
      </c>
      <c r="D247" s="25"/>
      <c r="E247" s="1424"/>
      <c r="F247" s="1424"/>
      <c r="G247" s="1424"/>
      <c r="H247" s="1424">
        <v>1724</v>
      </c>
      <c r="I247" s="1405">
        <v>1724</v>
      </c>
      <c r="J247" s="1405">
        <f t="shared" si="32"/>
        <v>1724</v>
      </c>
      <c r="K247" s="1405">
        <f t="shared" si="32"/>
        <v>1724</v>
      </c>
      <c r="L247" s="1405">
        <f t="shared" si="32"/>
        <v>1724</v>
      </c>
      <c r="M247" s="1405">
        <f t="shared" si="33"/>
        <v>1896.4</v>
      </c>
      <c r="N247" s="1403">
        <f t="shared" si="34"/>
        <v>1896.4</v>
      </c>
      <c r="O247" s="1403">
        <f t="shared" si="34"/>
        <v>1896.4</v>
      </c>
      <c r="P247" s="1403">
        <f t="shared" si="34"/>
        <v>1896.4</v>
      </c>
      <c r="Q247" s="1403">
        <v>1896.4</v>
      </c>
      <c r="R247" s="25"/>
    </row>
    <row r="248" spans="1:18" ht="17.25">
      <c r="A248" s="608">
        <f t="shared" si="39"/>
        <v>29.230000000000036</v>
      </c>
      <c r="B248" s="310" t="s">
        <v>600</v>
      </c>
      <c r="C248" s="52" t="s">
        <v>519</v>
      </c>
      <c r="D248" s="25"/>
      <c r="E248" s="1424"/>
      <c r="F248" s="1424"/>
      <c r="G248" s="1424"/>
      <c r="H248" s="1424">
        <v>1856</v>
      </c>
      <c r="I248" s="1405">
        <v>1856</v>
      </c>
      <c r="J248" s="1405">
        <f t="shared" si="32"/>
        <v>1856</v>
      </c>
      <c r="K248" s="1405">
        <f t="shared" si="32"/>
        <v>1856</v>
      </c>
      <c r="L248" s="1405">
        <f t="shared" si="32"/>
        <v>1856</v>
      </c>
      <c r="M248" s="1405">
        <f t="shared" si="33"/>
        <v>2041.6000000000001</v>
      </c>
      <c r="N248" s="1403">
        <f t="shared" si="34"/>
        <v>2041.6000000000001</v>
      </c>
      <c r="O248" s="1403">
        <f t="shared" si="34"/>
        <v>2041.6000000000001</v>
      </c>
      <c r="P248" s="1403">
        <f t="shared" si="34"/>
        <v>2041.6000000000001</v>
      </c>
      <c r="Q248" s="1403">
        <v>2041.6000000000001</v>
      </c>
      <c r="R248" s="25"/>
    </row>
    <row r="249" spans="1:18" ht="17.25">
      <c r="A249" s="608">
        <f t="shared" si="39"/>
        <v>29.240000000000038</v>
      </c>
      <c r="B249" s="310" t="s">
        <v>601</v>
      </c>
      <c r="C249" s="52" t="s">
        <v>519</v>
      </c>
      <c r="D249" s="25"/>
      <c r="E249" s="1424"/>
      <c r="F249" s="1424"/>
      <c r="G249" s="1424"/>
      <c r="H249" s="1424">
        <v>2036</v>
      </c>
      <c r="I249" s="1405">
        <v>2036</v>
      </c>
      <c r="J249" s="1405">
        <f t="shared" si="32"/>
        <v>2036</v>
      </c>
      <c r="K249" s="1405">
        <f t="shared" si="32"/>
        <v>2036</v>
      </c>
      <c r="L249" s="1405">
        <f t="shared" si="32"/>
        <v>2036</v>
      </c>
      <c r="M249" s="1405">
        <f t="shared" si="33"/>
        <v>2239.6000000000004</v>
      </c>
      <c r="N249" s="1403">
        <f t="shared" si="34"/>
        <v>2239.6000000000004</v>
      </c>
      <c r="O249" s="1403">
        <f t="shared" si="34"/>
        <v>2239.6000000000004</v>
      </c>
      <c r="P249" s="1403">
        <f t="shared" si="34"/>
        <v>2239.6000000000004</v>
      </c>
      <c r="Q249" s="1403">
        <v>2239.6000000000004</v>
      </c>
      <c r="R249" s="25"/>
    </row>
    <row r="250" spans="1:18" ht="17.25">
      <c r="A250" s="608">
        <f t="shared" si="39"/>
        <v>29.250000000000039</v>
      </c>
      <c r="B250" s="310" t="s">
        <v>602</v>
      </c>
      <c r="C250" s="52" t="s">
        <v>519</v>
      </c>
      <c r="D250" s="25"/>
      <c r="E250" s="1424"/>
      <c r="F250" s="1424"/>
      <c r="G250" s="1424"/>
      <c r="H250" s="1424">
        <v>2404</v>
      </c>
      <c r="I250" s="1405">
        <v>2404</v>
      </c>
      <c r="J250" s="1405">
        <f t="shared" si="32"/>
        <v>2404</v>
      </c>
      <c r="K250" s="1405">
        <f t="shared" si="32"/>
        <v>2404</v>
      </c>
      <c r="L250" s="1405">
        <f t="shared" si="32"/>
        <v>2404</v>
      </c>
      <c r="M250" s="1405">
        <f t="shared" si="33"/>
        <v>2644.4</v>
      </c>
      <c r="N250" s="1403">
        <f t="shared" si="34"/>
        <v>2644.4</v>
      </c>
      <c r="O250" s="1403">
        <f t="shared" si="34"/>
        <v>2644.4</v>
      </c>
      <c r="P250" s="1403">
        <f t="shared" si="34"/>
        <v>2644.4</v>
      </c>
      <c r="Q250" s="1403">
        <v>2644.4</v>
      </c>
      <c r="R250" s="25"/>
    </row>
    <row r="251" spans="1:18" ht="17.25">
      <c r="A251" s="608">
        <f t="shared" si="39"/>
        <v>29.260000000000041</v>
      </c>
      <c r="B251" s="310" t="s">
        <v>603</v>
      </c>
      <c r="C251" s="52" t="s">
        <v>519</v>
      </c>
      <c r="D251" s="25"/>
      <c r="E251" s="1424"/>
      <c r="F251" s="1424"/>
      <c r="G251" s="1424"/>
      <c r="H251" s="1424">
        <v>2656</v>
      </c>
      <c r="I251" s="1405">
        <v>2656</v>
      </c>
      <c r="J251" s="1405">
        <f t="shared" si="32"/>
        <v>2656</v>
      </c>
      <c r="K251" s="1405">
        <f t="shared" si="32"/>
        <v>2656</v>
      </c>
      <c r="L251" s="1405">
        <f t="shared" si="32"/>
        <v>2656</v>
      </c>
      <c r="M251" s="1405">
        <f t="shared" si="33"/>
        <v>2921.6000000000004</v>
      </c>
      <c r="N251" s="1403">
        <f t="shared" si="34"/>
        <v>2921.6000000000004</v>
      </c>
      <c r="O251" s="1403">
        <f t="shared" si="34"/>
        <v>2921.6000000000004</v>
      </c>
      <c r="P251" s="1403">
        <f t="shared" si="34"/>
        <v>2921.6000000000004</v>
      </c>
      <c r="Q251" s="1403">
        <v>2921.6000000000004</v>
      </c>
      <c r="R251" s="25"/>
    </row>
    <row r="252" spans="1:18" ht="17.25">
      <c r="A252" s="608">
        <f t="shared" si="39"/>
        <v>29.270000000000042</v>
      </c>
      <c r="B252" s="310" t="s">
        <v>604</v>
      </c>
      <c r="C252" s="52" t="s">
        <v>519</v>
      </c>
      <c r="D252" s="25"/>
      <c r="E252" s="1424"/>
      <c r="F252" s="1424"/>
      <c r="G252" s="1424"/>
      <c r="H252" s="1424">
        <v>3304</v>
      </c>
      <c r="I252" s="1405">
        <v>3304</v>
      </c>
      <c r="J252" s="1405">
        <f t="shared" si="32"/>
        <v>3304</v>
      </c>
      <c r="K252" s="1405">
        <f t="shared" si="32"/>
        <v>3304</v>
      </c>
      <c r="L252" s="1405">
        <f t="shared" si="32"/>
        <v>3304</v>
      </c>
      <c r="M252" s="1405">
        <f t="shared" si="33"/>
        <v>3634.4</v>
      </c>
      <c r="N252" s="1403">
        <f t="shared" si="34"/>
        <v>3634.4</v>
      </c>
      <c r="O252" s="1403">
        <f t="shared" si="34"/>
        <v>3634.4</v>
      </c>
      <c r="P252" s="1403">
        <f t="shared" si="34"/>
        <v>3634.4</v>
      </c>
      <c r="Q252" s="1403">
        <v>3634.4</v>
      </c>
      <c r="R252" s="25"/>
    </row>
    <row r="253" spans="1:18" ht="17.25">
      <c r="A253" s="608">
        <f t="shared" si="39"/>
        <v>29.280000000000044</v>
      </c>
      <c r="B253" s="310" t="s">
        <v>605</v>
      </c>
      <c r="C253" s="52" t="s">
        <v>519</v>
      </c>
      <c r="D253" s="25"/>
      <c r="E253" s="1424"/>
      <c r="F253" s="1424"/>
      <c r="G253" s="1424"/>
      <c r="H253" s="1424">
        <v>1644</v>
      </c>
      <c r="I253" s="1405">
        <v>1644</v>
      </c>
      <c r="J253" s="1405">
        <f t="shared" si="32"/>
        <v>1644</v>
      </c>
      <c r="K253" s="1405">
        <f t="shared" si="32"/>
        <v>1644</v>
      </c>
      <c r="L253" s="1405">
        <f t="shared" si="32"/>
        <v>1644</v>
      </c>
      <c r="M253" s="1405">
        <f t="shared" si="33"/>
        <v>1808.4</v>
      </c>
      <c r="N253" s="1403">
        <f t="shared" si="34"/>
        <v>1808.4</v>
      </c>
      <c r="O253" s="1403">
        <f t="shared" si="34"/>
        <v>1808.4</v>
      </c>
      <c r="P253" s="1403">
        <f t="shared" si="34"/>
        <v>1808.4</v>
      </c>
      <c r="Q253" s="1403">
        <v>1808.4</v>
      </c>
      <c r="R253" s="25"/>
    </row>
    <row r="254" spans="1:18" ht="17.25">
      <c r="A254" s="608">
        <f t="shared" si="39"/>
        <v>29.290000000000045</v>
      </c>
      <c r="B254" s="310" t="s">
        <v>606</v>
      </c>
      <c r="C254" s="52" t="s">
        <v>519</v>
      </c>
      <c r="D254" s="25"/>
      <c r="E254" s="1424"/>
      <c r="F254" s="1424"/>
      <c r="G254" s="1424"/>
      <c r="H254" s="1424">
        <v>1828</v>
      </c>
      <c r="I254" s="1405">
        <v>1828</v>
      </c>
      <c r="J254" s="1405">
        <f t="shared" si="32"/>
        <v>1828</v>
      </c>
      <c r="K254" s="1405">
        <f t="shared" si="32"/>
        <v>1828</v>
      </c>
      <c r="L254" s="1405">
        <f t="shared" si="32"/>
        <v>1828</v>
      </c>
      <c r="M254" s="1405">
        <f t="shared" si="33"/>
        <v>2010.8000000000002</v>
      </c>
      <c r="N254" s="1403">
        <f t="shared" si="34"/>
        <v>2010.8000000000002</v>
      </c>
      <c r="O254" s="1403">
        <f t="shared" si="34"/>
        <v>2010.8000000000002</v>
      </c>
      <c r="P254" s="1403">
        <f t="shared" si="34"/>
        <v>2010.8000000000002</v>
      </c>
      <c r="Q254" s="1403">
        <v>2010.8000000000002</v>
      </c>
      <c r="R254" s="25"/>
    </row>
    <row r="255" spans="1:18" ht="17.25">
      <c r="A255" s="608">
        <f t="shared" si="39"/>
        <v>29.300000000000047</v>
      </c>
      <c r="B255" s="310" t="s">
        <v>607</v>
      </c>
      <c r="C255" s="52" t="s">
        <v>519</v>
      </c>
      <c r="D255" s="25"/>
      <c r="E255" s="1424"/>
      <c r="F255" s="1424"/>
      <c r="G255" s="1424"/>
      <c r="H255" s="1424">
        <v>1960</v>
      </c>
      <c r="I255" s="1405">
        <v>1960</v>
      </c>
      <c r="J255" s="1405">
        <f t="shared" si="32"/>
        <v>1960</v>
      </c>
      <c r="K255" s="1405">
        <f t="shared" si="32"/>
        <v>1960</v>
      </c>
      <c r="L255" s="1405">
        <f t="shared" si="32"/>
        <v>1960</v>
      </c>
      <c r="M255" s="1405">
        <f t="shared" si="33"/>
        <v>2156</v>
      </c>
      <c r="N255" s="1403">
        <f t="shared" si="34"/>
        <v>2156</v>
      </c>
      <c r="O255" s="1403">
        <f t="shared" si="34"/>
        <v>2156</v>
      </c>
      <c r="P255" s="1403">
        <f t="shared" si="34"/>
        <v>2156</v>
      </c>
      <c r="Q255" s="1403">
        <v>2156</v>
      </c>
      <c r="R255" s="25"/>
    </row>
    <row r="256" spans="1:18" ht="17.25">
      <c r="A256" s="608">
        <f t="shared" si="39"/>
        <v>29.310000000000048</v>
      </c>
      <c r="B256" s="310" t="s">
        <v>608</v>
      </c>
      <c r="C256" s="52" t="s">
        <v>519</v>
      </c>
      <c r="D256" s="25"/>
      <c r="E256" s="1424"/>
      <c r="F256" s="1424"/>
      <c r="G256" s="1424"/>
      <c r="H256" s="1424">
        <v>2140</v>
      </c>
      <c r="I256" s="1405">
        <v>2140</v>
      </c>
      <c r="J256" s="1405">
        <f t="shared" si="32"/>
        <v>2140</v>
      </c>
      <c r="K256" s="1405">
        <f t="shared" si="32"/>
        <v>2140</v>
      </c>
      <c r="L256" s="1405">
        <f t="shared" si="32"/>
        <v>2140</v>
      </c>
      <c r="M256" s="1405">
        <f t="shared" si="33"/>
        <v>2354</v>
      </c>
      <c r="N256" s="1403">
        <f t="shared" si="34"/>
        <v>2354</v>
      </c>
      <c r="O256" s="1403">
        <f t="shared" si="34"/>
        <v>2354</v>
      </c>
      <c r="P256" s="1403">
        <f t="shared" si="34"/>
        <v>2354</v>
      </c>
      <c r="Q256" s="1403">
        <v>2354</v>
      </c>
      <c r="R256" s="25"/>
    </row>
    <row r="257" spans="1:18" ht="17.25">
      <c r="A257" s="608">
        <f t="shared" si="39"/>
        <v>29.32000000000005</v>
      </c>
      <c r="B257" s="310" t="s">
        <v>609</v>
      </c>
      <c r="C257" s="52" t="s">
        <v>519</v>
      </c>
      <c r="D257" s="25"/>
      <c r="E257" s="1424"/>
      <c r="F257" s="1424"/>
      <c r="G257" s="1424"/>
      <c r="H257" s="1424">
        <v>2508</v>
      </c>
      <c r="I257" s="1405">
        <v>2508</v>
      </c>
      <c r="J257" s="1405">
        <f t="shared" si="32"/>
        <v>2508</v>
      </c>
      <c r="K257" s="1405">
        <f t="shared" si="32"/>
        <v>2508</v>
      </c>
      <c r="L257" s="1405">
        <f t="shared" si="32"/>
        <v>2508</v>
      </c>
      <c r="M257" s="1405">
        <f t="shared" si="33"/>
        <v>2758.8</v>
      </c>
      <c r="N257" s="1403">
        <f t="shared" si="34"/>
        <v>2758.8</v>
      </c>
      <c r="O257" s="1403">
        <f t="shared" si="34"/>
        <v>2758.8</v>
      </c>
      <c r="P257" s="1403">
        <f t="shared" si="34"/>
        <v>2758.8</v>
      </c>
      <c r="Q257" s="1403">
        <v>2758.8</v>
      </c>
      <c r="R257" s="25"/>
    </row>
    <row r="258" spans="1:18" ht="17.25">
      <c r="A258" s="608">
        <f t="shared" si="39"/>
        <v>29.330000000000052</v>
      </c>
      <c r="B258" s="310" t="s">
        <v>610</v>
      </c>
      <c r="C258" s="52" t="s">
        <v>519</v>
      </c>
      <c r="D258" s="25"/>
      <c r="E258" s="1424"/>
      <c r="F258" s="1424"/>
      <c r="G258" s="1424"/>
      <c r="H258" s="1424">
        <v>2760</v>
      </c>
      <c r="I258" s="1405">
        <v>2760</v>
      </c>
      <c r="J258" s="1405">
        <f t="shared" si="32"/>
        <v>2760</v>
      </c>
      <c r="K258" s="1405">
        <f t="shared" si="32"/>
        <v>2760</v>
      </c>
      <c r="L258" s="1405">
        <f t="shared" si="32"/>
        <v>2760</v>
      </c>
      <c r="M258" s="1405">
        <f t="shared" si="33"/>
        <v>3036.0000000000005</v>
      </c>
      <c r="N258" s="1403">
        <f t="shared" si="34"/>
        <v>3036.0000000000005</v>
      </c>
      <c r="O258" s="1403">
        <f t="shared" si="34"/>
        <v>3036.0000000000005</v>
      </c>
      <c r="P258" s="1403">
        <f t="shared" si="34"/>
        <v>3036.0000000000005</v>
      </c>
      <c r="Q258" s="1403">
        <v>3036.0000000000005</v>
      </c>
      <c r="R258" s="25"/>
    </row>
    <row r="259" spans="1:18" ht="17.25">
      <c r="A259" s="608">
        <f t="shared" si="39"/>
        <v>29.340000000000053</v>
      </c>
      <c r="B259" s="310" t="s">
        <v>611</v>
      </c>
      <c r="C259" s="52" t="s">
        <v>519</v>
      </c>
      <c r="D259" s="25"/>
      <c r="E259" s="1424"/>
      <c r="F259" s="1424"/>
      <c r="G259" s="1424"/>
      <c r="H259" s="1424">
        <v>3408</v>
      </c>
      <c r="I259" s="1405">
        <v>3408</v>
      </c>
      <c r="J259" s="1405">
        <f t="shared" si="32"/>
        <v>3408</v>
      </c>
      <c r="K259" s="1405">
        <f t="shared" si="32"/>
        <v>3408</v>
      </c>
      <c r="L259" s="1405">
        <f t="shared" si="32"/>
        <v>3408</v>
      </c>
      <c r="M259" s="1405">
        <f t="shared" si="33"/>
        <v>3748.8</v>
      </c>
      <c r="N259" s="1403">
        <f t="shared" si="34"/>
        <v>3748.8</v>
      </c>
      <c r="O259" s="1403">
        <f t="shared" si="34"/>
        <v>3748.8</v>
      </c>
      <c r="P259" s="1403">
        <f t="shared" si="34"/>
        <v>3748.8</v>
      </c>
      <c r="Q259" s="1403">
        <v>3748.8</v>
      </c>
      <c r="R259" s="25"/>
    </row>
    <row r="260" spans="1:18" ht="17.25">
      <c r="A260" s="608">
        <f t="shared" si="39"/>
        <v>29.350000000000055</v>
      </c>
      <c r="B260" s="310" t="s">
        <v>612</v>
      </c>
      <c r="C260" s="52" t="s">
        <v>519</v>
      </c>
      <c r="D260" s="25"/>
      <c r="E260" s="1424"/>
      <c r="F260" s="1424"/>
      <c r="G260" s="1424"/>
      <c r="H260" s="1424">
        <v>1748</v>
      </c>
      <c r="I260" s="1405">
        <v>1748</v>
      </c>
      <c r="J260" s="1405">
        <f t="shared" si="32"/>
        <v>1748</v>
      </c>
      <c r="K260" s="1405">
        <f t="shared" si="32"/>
        <v>1748</v>
      </c>
      <c r="L260" s="1405">
        <f t="shared" si="32"/>
        <v>1748</v>
      </c>
      <c r="M260" s="1405">
        <f t="shared" si="33"/>
        <v>1922.8000000000002</v>
      </c>
      <c r="N260" s="1403">
        <f t="shared" si="34"/>
        <v>1922.8000000000002</v>
      </c>
      <c r="O260" s="1403">
        <f t="shared" si="34"/>
        <v>1922.8000000000002</v>
      </c>
      <c r="P260" s="1403">
        <f t="shared" si="34"/>
        <v>1922.8000000000002</v>
      </c>
      <c r="Q260" s="1403">
        <v>1922.8000000000002</v>
      </c>
      <c r="R260" s="25"/>
    </row>
    <row r="261" spans="1:18" ht="17.25">
      <c r="A261" s="608">
        <f t="shared" si="39"/>
        <v>29.360000000000056</v>
      </c>
      <c r="B261" s="310" t="s">
        <v>613</v>
      </c>
      <c r="C261" s="52" t="s">
        <v>519</v>
      </c>
      <c r="D261" s="25"/>
      <c r="E261" s="1424"/>
      <c r="F261" s="1424"/>
      <c r="G261" s="1424"/>
      <c r="H261" s="1424">
        <v>1932</v>
      </c>
      <c r="I261" s="1405">
        <v>1932</v>
      </c>
      <c r="J261" s="1405">
        <f t="shared" ref="J261:L318" si="40">I261</f>
        <v>1932</v>
      </c>
      <c r="K261" s="1405">
        <f t="shared" si="40"/>
        <v>1932</v>
      </c>
      <c r="L261" s="1405">
        <f t="shared" si="40"/>
        <v>1932</v>
      </c>
      <c r="M261" s="1405">
        <f t="shared" ref="M261:M324" si="41">L261*1.1</f>
        <v>2125.2000000000003</v>
      </c>
      <c r="N261" s="1403">
        <f t="shared" ref="N261:P318" si="42">M261</f>
        <v>2125.2000000000003</v>
      </c>
      <c r="O261" s="1403">
        <f t="shared" si="42"/>
        <v>2125.2000000000003</v>
      </c>
      <c r="P261" s="1403">
        <f t="shared" si="42"/>
        <v>2125.2000000000003</v>
      </c>
      <c r="Q261" s="1403">
        <v>2125.2000000000003</v>
      </c>
      <c r="R261" s="25"/>
    </row>
    <row r="262" spans="1:18" ht="17.25">
      <c r="A262" s="608">
        <f t="shared" si="39"/>
        <v>29.370000000000058</v>
      </c>
      <c r="B262" s="310" t="s">
        <v>614</v>
      </c>
      <c r="C262" s="52" t="s">
        <v>519</v>
      </c>
      <c r="D262" s="25"/>
      <c r="E262" s="1424"/>
      <c r="F262" s="1424"/>
      <c r="G262" s="1424"/>
      <c r="H262" s="1424">
        <v>2064</v>
      </c>
      <c r="I262" s="1405">
        <v>2064</v>
      </c>
      <c r="J262" s="1405">
        <f t="shared" si="40"/>
        <v>2064</v>
      </c>
      <c r="K262" s="1405">
        <f t="shared" si="40"/>
        <v>2064</v>
      </c>
      <c r="L262" s="1405">
        <f t="shared" si="40"/>
        <v>2064</v>
      </c>
      <c r="M262" s="1405">
        <f t="shared" si="41"/>
        <v>2270.4</v>
      </c>
      <c r="N262" s="1403">
        <f t="shared" si="42"/>
        <v>2270.4</v>
      </c>
      <c r="O262" s="1403">
        <f t="shared" si="42"/>
        <v>2270.4</v>
      </c>
      <c r="P262" s="1403">
        <f t="shared" si="42"/>
        <v>2270.4</v>
      </c>
      <c r="Q262" s="1403">
        <v>2270.4</v>
      </c>
      <c r="R262" s="25"/>
    </row>
    <row r="263" spans="1:18" ht="17.25">
      <c r="A263" s="608">
        <f t="shared" si="39"/>
        <v>29.380000000000059</v>
      </c>
      <c r="B263" s="310" t="s">
        <v>615</v>
      </c>
      <c r="C263" s="52" t="s">
        <v>519</v>
      </c>
      <c r="D263" s="25"/>
      <c r="E263" s="1424"/>
      <c r="F263" s="1424"/>
      <c r="G263" s="1424"/>
      <c r="H263" s="1424">
        <v>2244</v>
      </c>
      <c r="I263" s="1405">
        <v>2244</v>
      </c>
      <c r="J263" s="1405">
        <f t="shared" si="40"/>
        <v>2244</v>
      </c>
      <c r="K263" s="1405">
        <f t="shared" si="40"/>
        <v>2244</v>
      </c>
      <c r="L263" s="1405">
        <f t="shared" si="40"/>
        <v>2244</v>
      </c>
      <c r="M263" s="1405">
        <f t="shared" si="41"/>
        <v>2468.4</v>
      </c>
      <c r="N263" s="1403">
        <f t="shared" si="42"/>
        <v>2468.4</v>
      </c>
      <c r="O263" s="1403">
        <f t="shared" si="42"/>
        <v>2468.4</v>
      </c>
      <c r="P263" s="1403">
        <f t="shared" si="42"/>
        <v>2468.4</v>
      </c>
      <c r="Q263" s="1403">
        <v>2468.4</v>
      </c>
      <c r="R263" s="25"/>
    </row>
    <row r="264" spans="1:18" ht="17.25">
      <c r="A264" s="608">
        <f t="shared" si="39"/>
        <v>29.390000000000061</v>
      </c>
      <c r="B264" s="310" t="s">
        <v>616</v>
      </c>
      <c r="C264" s="52" t="s">
        <v>519</v>
      </c>
      <c r="D264" s="25"/>
      <c r="E264" s="1424"/>
      <c r="F264" s="1424"/>
      <c r="G264" s="1424"/>
      <c r="H264" s="1424">
        <v>2612</v>
      </c>
      <c r="I264" s="1405">
        <v>2612</v>
      </c>
      <c r="J264" s="1405">
        <f t="shared" si="40"/>
        <v>2612</v>
      </c>
      <c r="K264" s="1405">
        <f t="shared" si="40"/>
        <v>2612</v>
      </c>
      <c r="L264" s="1405">
        <f t="shared" si="40"/>
        <v>2612</v>
      </c>
      <c r="M264" s="1405">
        <f t="shared" si="41"/>
        <v>2873.2000000000003</v>
      </c>
      <c r="N264" s="1403">
        <f t="shared" si="42"/>
        <v>2873.2000000000003</v>
      </c>
      <c r="O264" s="1403">
        <f t="shared" si="42"/>
        <v>2873.2000000000003</v>
      </c>
      <c r="P264" s="1403">
        <f t="shared" si="42"/>
        <v>2873.2000000000003</v>
      </c>
      <c r="Q264" s="1403">
        <v>2873.2000000000003</v>
      </c>
      <c r="R264" s="25"/>
    </row>
    <row r="265" spans="1:18" ht="17.25">
      <c r="A265" s="608">
        <f t="shared" si="39"/>
        <v>29.400000000000063</v>
      </c>
      <c r="B265" s="310" t="s">
        <v>617</v>
      </c>
      <c r="C265" s="52" t="s">
        <v>519</v>
      </c>
      <c r="D265" s="25"/>
      <c r="E265" s="1424"/>
      <c r="F265" s="1424"/>
      <c r="G265" s="1424"/>
      <c r="H265" s="1424">
        <v>2864</v>
      </c>
      <c r="I265" s="1405">
        <v>2864</v>
      </c>
      <c r="J265" s="1405">
        <f t="shared" si="40"/>
        <v>2864</v>
      </c>
      <c r="K265" s="1405">
        <f t="shared" si="40"/>
        <v>2864</v>
      </c>
      <c r="L265" s="1405">
        <f t="shared" si="40"/>
        <v>2864</v>
      </c>
      <c r="M265" s="1405">
        <f t="shared" si="41"/>
        <v>3150.4</v>
      </c>
      <c r="N265" s="1403">
        <f t="shared" si="42"/>
        <v>3150.4</v>
      </c>
      <c r="O265" s="1403">
        <f t="shared" si="42"/>
        <v>3150.4</v>
      </c>
      <c r="P265" s="1403">
        <f t="shared" si="42"/>
        <v>3150.4</v>
      </c>
      <c r="Q265" s="1403">
        <v>3150.4</v>
      </c>
      <c r="R265" s="25"/>
    </row>
    <row r="266" spans="1:18" ht="17.25">
      <c r="A266" s="608">
        <f t="shared" si="39"/>
        <v>29.410000000000064</v>
      </c>
      <c r="B266" s="310" t="s">
        <v>618</v>
      </c>
      <c r="C266" s="52" t="s">
        <v>519</v>
      </c>
      <c r="D266" s="25"/>
      <c r="E266" s="1424"/>
      <c r="F266" s="1424"/>
      <c r="G266" s="1424"/>
      <c r="H266" s="1424">
        <v>3512</v>
      </c>
      <c r="I266" s="1405">
        <v>3512</v>
      </c>
      <c r="J266" s="1405">
        <f t="shared" si="40"/>
        <v>3512</v>
      </c>
      <c r="K266" s="1405">
        <f t="shared" si="40"/>
        <v>3512</v>
      </c>
      <c r="L266" s="1405">
        <f t="shared" si="40"/>
        <v>3512</v>
      </c>
      <c r="M266" s="1405">
        <f t="shared" si="41"/>
        <v>3863.2000000000003</v>
      </c>
      <c r="N266" s="1403">
        <f t="shared" si="42"/>
        <v>3863.2000000000003</v>
      </c>
      <c r="O266" s="1403">
        <f t="shared" si="42"/>
        <v>3863.2000000000003</v>
      </c>
      <c r="P266" s="1403">
        <f t="shared" si="42"/>
        <v>3863.2000000000003</v>
      </c>
      <c r="Q266" s="1403">
        <v>3863.2000000000003</v>
      </c>
      <c r="R266" s="25"/>
    </row>
    <row r="267" spans="1:18" ht="17.25">
      <c r="A267" s="608">
        <f t="shared" si="39"/>
        <v>29.420000000000066</v>
      </c>
      <c r="B267" s="310" t="s">
        <v>619</v>
      </c>
      <c r="C267" s="52" t="s">
        <v>519</v>
      </c>
      <c r="D267" s="25"/>
      <c r="E267" s="1424"/>
      <c r="F267" s="1424"/>
      <c r="G267" s="1424"/>
      <c r="H267" s="1424">
        <v>1884</v>
      </c>
      <c r="I267" s="1405">
        <v>1884</v>
      </c>
      <c r="J267" s="1405">
        <f t="shared" si="40"/>
        <v>1884</v>
      </c>
      <c r="K267" s="1405">
        <f t="shared" si="40"/>
        <v>1884</v>
      </c>
      <c r="L267" s="1405">
        <f t="shared" si="40"/>
        <v>1884</v>
      </c>
      <c r="M267" s="1405">
        <f t="shared" si="41"/>
        <v>2072.4</v>
      </c>
      <c r="N267" s="1403">
        <f t="shared" si="42"/>
        <v>2072.4</v>
      </c>
      <c r="O267" s="1403">
        <f t="shared" si="42"/>
        <v>2072.4</v>
      </c>
      <c r="P267" s="1403">
        <f t="shared" si="42"/>
        <v>2072.4</v>
      </c>
      <c r="Q267" s="1403">
        <v>2072.4</v>
      </c>
      <c r="R267" s="25"/>
    </row>
    <row r="268" spans="1:18" ht="17.25">
      <c r="A268" s="608">
        <f t="shared" si="39"/>
        <v>29.430000000000067</v>
      </c>
      <c r="B268" s="310" t="s">
        <v>620</v>
      </c>
      <c r="C268" s="52" t="s">
        <v>519</v>
      </c>
      <c r="D268" s="25"/>
      <c r="E268" s="1424"/>
      <c r="F268" s="1424"/>
      <c r="G268" s="1424"/>
      <c r="H268" s="1424">
        <v>2068</v>
      </c>
      <c r="I268" s="1405">
        <v>2068</v>
      </c>
      <c r="J268" s="1405">
        <f t="shared" si="40"/>
        <v>2068</v>
      </c>
      <c r="K268" s="1405">
        <f t="shared" si="40"/>
        <v>2068</v>
      </c>
      <c r="L268" s="1405">
        <f t="shared" si="40"/>
        <v>2068</v>
      </c>
      <c r="M268" s="1405">
        <f t="shared" si="41"/>
        <v>2274.8000000000002</v>
      </c>
      <c r="N268" s="1403">
        <f t="shared" si="42"/>
        <v>2274.8000000000002</v>
      </c>
      <c r="O268" s="1403">
        <f t="shared" si="42"/>
        <v>2274.8000000000002</v>
      </c>
      <c r="P268" s="1403">
        <f t="shared" si="42"/>
        <v>2274.8000000000002</v>
      </c>
      <c r="Q268" s="1403">
        <v>2274.8000000000002</v>
      </c>
      <c r="R268" s="25"/>
    </row>
    <row r="269" spans="1:18" ht="17.25">
      <c r="A269" s="608">
        <f t="shared" si="39"/>
        <v>29.440000000000069</v>
      </c>
      <c r="B269" s="310" t="s">
        <v>621</v>
      </c>
      <c r="C269" s="52" t="s">
        <v>519</v>
      </c>
      <c r="D269" s="25"/>
      <c r="E269" s="1424"/>
      <c r="F269" s="1424"/>
      <c r="G269" s="1424"/>
      <c r="H269" s="1424">
        <v>2200</v>
      </c>
      <c r="I269" s="1405">
        <v>2200</v>
      </c>
      <c r="J269" s="1405">
        <f t="shared" si="40"/>
        <v>2200</v>
      </c>
      <c r="K269" s="1405">
        <f t="shared" si="40"/>
        <v>2200</v>
      </c>
      <c r="L269" s="1405">
        <f t="shared" si="40"/>
        <v>2200</v>
      </c>
      <c r="M269" s="1405">
        <f t="shared" si="41"/>
        <v>2420</v>
      </c>
      <c r="N269" s="1403">
        <f t="shared" si="42"/>
        <v>2420</v>
      </c>
      <c r="O269" s="1403">
        <f t="shared" si="42"/>
        <v>2420</v>
      </c>
      <c r="P269" s="1403">
        <f t="shared" si="42"/>
        <v>2420</v>
      </c>
      <c r="Q269" s="1403">
        <v>2420</v>
      </c>
      <c r="R269" s="25"/>
    </row>
    <row r="270" spans="1:18" ht="17.25">
      <c r="A270" s="608">
        <f t="shared" si="39"/>
        <v>29.45000000000007</v>
      </c>
      <c r="B270" s="310" t="s">
        <v>622</v>
      </c>
      <c r="C270" s="52" t="s">
        <v>519</v>
      </c>
      <c r="D270" s="25"/>
      <c r="E270" s="1424"/>
      <c r="F270" s="1424"/>
      <c r="G270" s="1424"/>
      <c r="H270" s="1424">
        <v>2380</v>
      </c>
      <c r="I270" s="1405">
        <v>2380</v>
      </c>
      <c r="J270" s="1405">
        <f t="shared" si="40"/>
        <v>2380</v>
      </c>
      <c r="K270" s="1405">
        <f t="shared" si="40"/>
        <v>2380</v>
      </c>
      <c r="L270" s="1405">
        <f t="shared" si="40"/>
        <v>2380</v>
      </c>
      <c r="M270" s="1405">
        <f t="shared" si="41"/>
        <v>2618</v>
      </c>
      <c r="N270" s="1403">
        <f t="shared" si="42"/>
        <v>2618</v>
      </c>
      <c r="O270" s="1403">
        <f t="shared" si="42"/>
        <v>2618</v>
      </c>
      <c r="P270" s="1403">
        <f t="shared" si="42"/>
        <v>2618</v>
      </c>
      <c r="Q270" s="1403">
        <v>2618</v>
      </c>
      <c r="R270" s="25"/>
    </row>
    <row r="271" spans="1:18" ht="17.25">
      <c r="A271" s="608">
        <f t="shared" si="39"/>
        <v>29.460000000000072</v>
      </c>
      <c r="B271" s="310" t="s">
        <v>623</v>
      </c>
      <c r="C271" s="52" t="s">
        <v>519</v>
      </c>
      <c r="D271" s="25"/>
      <c r="E271" s="1424"/>
      <c r="F271" s="1424"/>
      <c r="G271" s="1424"/>
      <c r="H271" s="1424">
        <v>2748</v>
      </c>
      <c r="I271" s="1405">
        <v>2748</v>
      </c>
      <c r="J271" s="1405">
        <f t="shared" si="40"/>
        <v>2748</v>
      </c>
      <c r="K271" s="1405">
        <f t="shared" si="40"/>
        <v>2748</v>
      </c>
      <c r="L271" s="1405">
        <f t="shared" si="40"/>
        <v>2748</v>
      </c>
      <c r="M271" s="1405">
        <f t="shared" si="41"/>
        <v>3022.8</v>
      </c>
      <c r="N271" s="1403">
        <f t="shared" si="42"/>
        <v>3022.8</v>
      </c>
      <c r="O271" s="1403">
        <f t="shared" si="42"/>
        <v>3022.8</v>
      </c>
      <c r="P271" s="1403">
        <f t="shared" si="42"/>
        <v>3022.8</v>
      </c>
      <c r="Q271" s="1403">
        <v>3022.8</v>
      </c>
      <c r="R271" s="25"/>
    </row>
    <row r="272" spans="1:18" ht="17.25">
      <c r="A272" s="608">
        <f t="shared" si="39"/>
        <v>29.470000000000073</v>
      </c>
      <c r="B272" s="310" t="s">
        <v>624</v>
      </c>
      <c r="C272" s="52" t="s">
        <v>519</v>
      </c>
      <c r="D272" s="25"/>
      <c r="E272" s="1424"/>
      <c r="F272" s="1424"/>
      <c r="G272" s="1424"/>
      <c r="H272" s="1424">
        <v>3000</v>
      </c>
      <c r="I272" s="1405">
        <v>3000</v>
      </c>
      <c r="J272" s="1405">
        <f t="shared" si="40"/>
        <v>3000</v>
      </c>
      <c r="K272" s="1405">
        <f t="shared" si="40"/>
        <v>3000</v>
      </c>
      <c r="L272" s="1405">
        <f t="shared" si="40"/>
        <v>3000</v>
      </c>
      <c r="M272" s="1405">
        <f t="shared" si="41"/>
        <v>3300.0000000000005</v>
      </c>
      <c r="N272" s="1403">
        <f t="shared" si="42"/>
        <v>3300.0000000000005</v>
      </c>
      <c r="O272" s="1403">
        <f t="shared" si="42"/>
        <v>3300.0000000000005</v>
      </c>
      <c r="P272" s="1403">
        <f t="shared" si="42"/>
        <v>3300.0000000000005</v>
      </c>
      <c r="Q272" s="1403">
        <v>3300.0000000000005</v>
      </c>
      <c r="R272" s="25"/>
    </row>
    <row r="273" spans="1:18" ht="17.25">
      <c r="A273" s="608">
        <f t="shared" si="39"/>
        <v>29.480000000000075</v>
      </c>
      <c r="B273" s="310" t="s">
        <v>625</v>
      </c>
      <c r="C273" s="52" t="s">
        <v>519</v>
      </c>
      <c r="D273" s="25"/>
      <c r="E273" s="1424"/>
      <c r="F273" s="1424"/>
      <c r="G273" s="1424"/>
      <c r="H273" s="1424">
        <v>3658</v>
      </c>
      <c r="I273" s="1405">
        <v>3658</v>
      </c>
      <c r="J273" s="1405">
        <f t="shared" si="40"/>
        <v>3658</v>
      </c>
      <c r="K273" s="1405">
        <f t="shared" si="40"/>
        <v>3658</v>
      </c>
      <c r="L273" s="1405">
        <f t="shared" si="40"/>
        <v>3658</v>
      </c>
      <c r="M273" s="1405">
        <f t="shared" si="41"/>
        <v>4023.8</v>
      </c>
      <c r="N273" s="1403">
        <f t="shared" si="42"/>
        <v>4023.8</v>
      </c>
      <c r="O273" s="1403">
        <f t="shared" si="42"/>
        <v>4023.8</v>
      </c>
      <c r="P273" s="1403">
        <f t="shared" si="42"/>
        <v>4023.8</v>
      </c>
      <c r="Q273" s="1403">
        <v>4023.8</v>
      </c>
      <c r="R273" s="25"/>
    </row>
    <row r="274" spans="1:18" ht="17.25">
      <c r="A274" s="608">
        <f t="shared" si="39"/>
        <v>29.490000000000077</v>
      </c>
      <c r="B274" s="310" t="s">
        <v>626</v>
      </c>
      <c r="C274" s="52" t="s">
        <v>519</v>
      </c>
      <c r="D274" s="25"/>
      <c r="E274" s="1424"/>
      <c r="F274" s="1424"/>
      <c r="G274" s="1424"/>
      <c r="H274" s="1424">
        <v>1964</v>
      </c>
      <c r="I274" s="1405">
        <v>1964</v>
      </c>
      <c r="J274" s="1405">
        <f t="shared" si="40"/>
        <v>1964</v>
      </c>
      <c r="K274" s="1405">
        <f t="shared" si="40"/>
        <v>1964</v>
      </c>
      <c r="L274" s="1405">
        <f t="shared" si="40"/>
        <v>1964</v>
      </c>
      <c r="M274" s="1405">
        <f t="shared" si="41"/>
        <v>2160.4</v>
      </c>
      <c r="N274" s="1403">
        <f t="shared" si="42"/>
        <v>2160.4</v>
      </c>
      <c r="O274" s="1403">
        <f t="shared" si="42"/>
        <v>2160.4</v>
      </c>
      <c r="P274" s="1403">
        <f t="shared" si="42"/>
        <v>2160.4</v>
      </c>
      <c r="Q274" s="1403">
        <v>2160.4</v>
      </c>
      <c r="R274" s="25"/>
    </row>
    <row r="275" spans="1:18" ht="17.25">
      <c r="A275" s="608">
        <f t="shared" si="39"/>
        <v>29.500000000000078</v>
      </c>
      <c r="B275" s="310" t="s">
        <v>627</v>
      </c>
      <c r="C275" s="52" t="s">
        <v>519</v>
      </c>
      <c r="D275" s="25"/>
      <c r="E275" s="1424"/>
      <c r="F275" s="1424"/>
      <c r="G275" s="1424"/>
      <c r="H275" s="1424">
        <v>2168</v>
      </c>
      <c r="I275" s="1405">
        <v>2168</v>
      </c>
      <c r="J275" s="1405">
        <f t="shared" si="40"/>
        <v>2168</v>
      </c>
      <c r="K275" s="1405">
        <f t="shared" si="40"/>
        <v>2168</v>
      </c>
      <c r="L275" s="1405">
        <f t="shared" si="40"/>
        <v>2168</v>
      </c>
      <c r="M275" s="1405">
        <f t="shared" si="41"/>
        <v>2384.8000000000002</v>
      </c>
      <c r="N275" s="1403">
        <f t="shared" si="42"/>
        <v>2384.8000000000002</v>
      </c>
      <c r="O275" s="1403">
        <f t="shared" si="42"/>
        <v>2384.8000000000002</v>
      </c>
      <c r="P275" s="1403">
        <f t="shared" si="42"/>
        <v>2384.8000000000002</v>
      </c>
      <c r="Q275" s="1403">
        <v>2384.8000000000002</v>
      </c>
      <c r="R275" s="25"/>
    </row>
    <row r="276" spans="1:18" ht="17.25">
      <c r="A276" s="608">
        <f t="shared" si="39"/>
        <v>29.51000000000008</v>
      </c>
      <c r="B276" s="310" t="s">
        <v>628</v>
      </c>
      <c r="C276" s="52" t="s">
        <v>519</v>
      </c>
      <c r="D276" s="25"/>
      <c r="E276" s="1424"/>
      <c r="F276" s="1424"/>
      <c r="G276" s="1424"/>
      <c r="H276" s="1424">
        <v>2300</v>
      </c>
      <c r="I276" s="1405">
        <v>2300</v>
      </c>
      <c r="J276" s="1405">
        <f t="shared" si="40"/>
        <v>2300</v>
      </c>
      <c r="K276" s="1405">
        <f t="shared" si="40"/>
        <v>2300</v>
      </c>
      <c r="L276" s="1405">
        <f t="shared" si="40"/>
        <v>2300</v>
      </c>
      <c r="M276" s="1405">
        <f t="shared" si="41"/>
        <v>2530</v>
      </c>
      <c r="N276" s="1403">
        <f t="shared" si="42"/>
        <v>2530</v>
      </c>
      <c r="O276" s="1403">
        <f t="shared" si="42"/>
        <v>2530</v>
      </c>
      <c r="P276" s="1403">
        <f t="shared" si="42"/>
        <v>2530</v>
      </c>
      <c r="Q276" s="1403">
        <v>2530</v>
      </c>
      <c r="R276" s="25"/>
    </row>
    <row r="277" spans="1:18" ht="17.25">
      <c r="A277" s="608">
        <f t="shared" si="39"/>
        <v>29.520000000000081</v>
      </c>
      <c r="B277" s="310" t="s">
        <v>629</v>
      </c>
      <c r="C277" s="52" t="s">
        <v>519</v>
      </c>
      <c r="D277" s="25"/>
      <c r="E277" s="1424"/>
      <c r="F277" s="1424"/>
      <c r="G277" s="1424"/>
      <c r="H277" s="1424">
        <v>2400</v>
      </c>
      <c r="I277" s="1405">
        <v>2400</v>
      </c>
      <c r="J277" s="1405">
        <f t="shared" si="40"/>
        <v>2400</v>
      </c>
      <c r="K277" s="1405">
        <f t="shared" si="40"/>
        <v>2400</v>
      </c>
      <c r="L277" s="1405">
        <f t="shared" si="40"/>
        <v>2400</v>
      </c>
      <c r="M277" s="1405">
        <f t="shared" si="41"/>
        <v>2640</v>
      </c>
      <c r="N277" s="1403">
        <f t="shared" si="42"/>
        <v>2640</v>
      </c>
      <c r="O277" s="1403">
        <f t="shared" si="42"/>
        <v>2640</v>
      </c>
      <c r="P277" s="1403">
        <f t="shared" si="42"/>
        <v>2640</v>
      </c>
      <c r="Q277" s="1403">
        <v>2640</v>
      </c>
      <c r="R277" s="25"/>
    </row>
    <row r="278" spans="1:18" ht="17.25">
      <c r="A278" s="608">
        <f t="shared" si="39"/>
        <v>29.530000000000083</v>
      </c>
      <c r="B278" s="310" t="s">
        <v>630</v>
      </c>
      <c r="C278" s="52" t="s">
        <v>519</v>
      </c>
      <c r="D278" s="25"/>
      <c r="E278" s="1424"/>
      <c r="F278" s="1424"/>
      <c r="G278" s="1424"/>
      <c r="H278" s="1424">
        <v>2848</v>
      </c>
      <c r="I278" s="1405">
        <v>2848</v>
      </c>
      <c r="J278" s="1405">
        <f t="shared" si="40"/>
        <v>2848</v>
      </c>
      <c r="K278" s="1405">
        <f t="shared" si="40"/>
        <v>2848</v>
      </c>
      <c r="L278" s="1405">
        <f t="shared" si="40"/>
        <v>2848</v>
      </c>
      <c r="M278" s="1405">
        <f t="shared" si="41"/>
        <v>3132.8</v>
      </c>
      <c r="N278" s="1403">
        <f t="shared" si="42"/>
        <v>3132.8</v>
      </c>
      <c r="O278" s="1403">
        <f t="shared" si="42"/>
        <v>3132.8</v>
      </c>
      <c r="P278" s="1403">
        <f t="shared" si="42"/>
        <v>3132.8</v>
      </c>
      <c r="Q278" s="1403">
        <v>3132.8</v>
      </c>
      <c r="R278" s="25"/>
    </row>
    <row r="279" spans="1:18" ht="17.25">
      <c r="A279" s="608">
        <f t="shared" si="39"/>
        <v>29.540000000000084</v>
      </c>
      <c r="B279" s="310" t="s">
        <v>631</v>
      </c>
      <c r="C279" s="52" t="s">
        <v>519</v>
      </c>
      <c r="D279" s="25"/>
      <c r="E279" s="1424"/>
      <c r="F279" s="1424"/>
      <c r="G279" s="1424"/>
      <c r="H279" s="1424">
        <v>3100</v>
      </c>
      <c r="I279" s="1405">
        <v>3100</v>
      </c>
      <c r="J279" s="1405">
        <f t="shared" si="40"/>
        <v>3100</v>
      </c>
      <c r="K279" s="1405">
        <f t="shared" si="40"/>
        <v>3100</v>
      </c>
      <c r="L279" s="1405">
        <f t="shared" si="40"/>
        <v>3100</v>
      </c>
      <c r="M279" s="1405">
        <f t="shared" si="41"/>
        <v>3410.0000000000005</v>
      </c>
      <c r="N279" s="1403">
        <f t="shared" si="42"/>
        <v>3410.0000000000005</v>
      </c>
      <c r="O279" s="1403">
        <f t="shared" si="42"/>
        <v>3410.0000000000005</v>
      </c>
      <c r="P279" s="1403">
        <f t="shared" si="42"/>
        <v>3410.0000000000005</v>
      </c>
      <c r="Q279" s="1403">
        <v>3410.0000000000005</v>
      </c>
      <c r="R279" s="25"/>
    </row>
    <row r="280" spans="1:18" ht="17.25">
      <c r="A280" s="608">
        <f t="shared" si="39"/>
        <v>29.550000000000086</v>
      </c>
      <c r="B280" s="310" t="s">
        <v>632</v>
      </c>
      <c r="C280" s="52" t="s">
        <v>519</v>
      </c>
      <c r="D280" s="25"/>
      <c r="E280" s="1424"/>
      <c r="F280" s="1424"/>
      <c r="G280" s="1424"/>
      <c r="H280" s="1424">
        <v>3748</v>
      </c>
      <c r="I280" s="1405">
        <v>3748</v>
      </c>
      <c r="J280" s="1405">
        <f t="shared" si="40"/>
        <v>3748</v>
      </c>
      <c r="K280" s="1405">
        <f t="shared" si="40"/>
        <v>3748</v>
      </c>
      <c r="L280" s="1405">
        <f t="shared" si="40"/>
        <v>3748</v>
      </c>
      <c r="M280" s="1405">
        <f t="shared" si="41"/>
        <v>4122.8</v>
      </c>
      <c r="N280" s="1403">
        <f t="shared" si="42"/>
        <v>4122.8</v>
      </c>
      <c r="O280" s="1403">
        <f t="shared" si="42"/>
        <v>4122.8</v>
      </c>
      <c r="P280" s="1403">
        <f t="shared" si="42"/>
        <v>4122.8</v>
      </c>
      <c r="Q280" s="1403">
        <v>4122.8</v>
      </c>
      <c r="R280" s="25"/>
    </row>
    <row r="281" spans="1:18" ht="17.25">
      <c r="A281" s="608">
        <f t="shared" si="39"/>
        <v>29.560000000000088</v>
      </c>
      <c r="B281" s="310" t="s">
        <v>633</v>
      </c>
      <c r="C281" s="52" t="s">
        <v>519</v>
      </c>
      <c r="D281" s="25"/>
      <c r="E281" s="1424"/>
      <c r="F281" s="1424"/>
      <c r="G281" s="1424"/>
      <c r="H281" s="1424">
        <v>2128</v>
      </c>
      <c r="I281" s="1405">
        <v>2128</v>
      </c>
      <c r="J281" s="1405">
        <f t="shared" si="40"/>
        <v>2128</v>
      </c>
      <c r="K281" s="1405">
        <f t="shared" si="40"/>
        <v>2128</v>
      </c>
      <c r="L281" s="1405">
        <f t="shared" si="40"/>
        <v>2128</v>
      </c>
      <c r="M281" s="1405">
        <f t="shared" si="41"/>
        <v>2340.8000000000002</v>
      </c>
      <c r="N281" s="1403">
        <f t="shared" si="42"/>
        <v>2340.8000000000002</v>
      </c>
      <c r="O281" s="1403">
        <f t="shared" si="42"/>
        <v>2340.8000000000002</v>
      </c>
      <c r="P281" s="1403">
        <f t="shared" si="42"/>
        <v>2340.8000000000002</v>
      </c>
      <c r="Q281" s="1403">
        <v>2340.8000000000002</v>
      </c>
      <c r="R281" s="25"/>
    </row>
    <row r="282" spans="1:18" ht="17.25">
      <c r="A282" s="608">
        <f t="shared" si="39"/>
        <v>29.570000000000089</v>
      </c>
      <c r="B282" s="310" t="s">
        <v>634</v>
      </c>
      <c r="C282" s="52" t="s">
        <v>519</v>
      </c>
      <c r="D282" s="25"/>
      <c r="E282" s="1424"/>
      <c r="F282" s="1424"/>
      <c r="G282" s="1424"/>
      <c r="H282" s="1424">
        <v>2310</v>
      </c>
      <c r="I282" s="1405">
        <v>2310</v>
      </c>
      <c r="J282" s="1405">
        <f t="shared" si="40"/>
        <v>2310</v>
      </c>
      <c r="K282" s="1405">
        <f t="shared" si="40"/>
        <v>2310</v>
      </c>
      <c r="L282" s="1405">
        <f t="shared" si="40"/>
        <v>2310</v>
      </c>
      <c r="M282" s="1405">
        <f t="shared" si="41"/>
        <v>2541</v>
      </c>
      <c r="N282" s="1403">
        <f t="shared" si="42"/>
        <v>2541</v>
      </c>
      <c r="O282" s="1403">
        <f t="shared" si="42"/>
        <v>2541</v>
      </c>
      <c r="P282" s="1403">
        <f t="shared" si="42"/>
        <v>2541</v>
      </c>
      <c r="Q282" s="1403">
        <v>2541</v>
      </c>
      <c r="R282" s="25"/>
    </row>
    <row r="283" spans="1:18" ht="17.25">
      <c r="A283" s="608">
        <f t="shared" si="39"/>
        <v>29.580000000000091</v>
      </c>
      <c r="B283" s="310" t="s">
        <v>635</v>
      </c>
      <c r="C283" s="52" t="s">
        <v>519</v>
      </c>
      <c r="D283" s="25"/>
      <c r="E283" s="1424"/>
      <c r="F283" s="1424"/>
      <c r="G283" s="1424"/>
      <c r="H283" s="1424">
        <v>2444</v>
      </c>
      <c r="I283" s="1405">
        <v>2444</v>
      </c>
      <c r="J283" s="1405">
        <f t="shared" si="40"/>
        <v>2444</v>
      </c>
      <c r="K283" s="1405">
        <f t="shared" si="40"/>
        <v>2444</v>
      </c>
      <c r="L283" s="1405">
        <f t="shared" si="40"/>
        <v>2444</v>
      </c>
      <c r="M283" s="1405">
        <f t="shared" si="41"/>
        <v>2688.4</v>
      </c>
      <c r="N283" s="1403">
        <f t="shared" si="42"/>
        <v>2688.4</v>
      </c>
      <c r="O283" s="1403">
        <f t="shared" si="42"/>
        <v>2688.4</v>
      </c>
      <c r="P283" s="1403">
        <f t="shared" si="42"/>
        <v>2688.4</v>
      </c>
      <c r="Q283" s="1403">
        <v>2688.4</v>
      </c>
      <c r="R283" s="25"/>
    </row>
    <row r="284" spans="1:18" ht="17.25">
      <c r="A284" s="608">
        <f t="shared" si="39"/>
        <v>29.590000000000092</v>
      </c>
      <c r="B284" s="310" t="s">
        <v>636</v>
      </c>
      <c r="C284" s="52" t="s">
        <v>519</v>
      </c>
      <c r="D284" s="25"/>
      <c r="E284" s="1424"/>
      <c r="F284" s="1424"/>
      <c r="G284" s="1424"/>
      <c r="H284" s="1424">
        <v>2624</v>
      </c>
      <c r="I284" s="1405">
        <v>2624</v>
      </c>
      <c r="J284" s="1405">
        <f t="shared" si="40"/>
        <v>2624</v>
      </c>
      <c r="K284" s="1405">
        <f t="shared" si="40"/>
        <v>2624</v>
      </c>
      <c r="L284" s="1405">
        <f t="shared" si="40"/>
        <v>2624</v>
      </c>
      <c r="M284" s="1405">
        <f t="shared" si="41"/>
        <v>2886.4</v>
      </c>
      <c r="N284" s="1403">
        <f t="shared" si="42"/>
        <v>2886.4</v>
      </c>
      <c r="O284" s="1403">
        <f t="shared" si="42"/>
        <v>2886.4</v>
      </c>
      <c r="P284" s="1403">
        <f t="shared" si="42"/>
        <v>2886.4</v>
      </c>
      <c r="Q284" s="1403">
        <v>2886.4</v>
      </c>
      <c r="R284" s="25"/>
    </row>
    <row r="285" spans="1:18" ht="17.25">
      <c r="A285" s="608">
        <f t="shared" si="39"/>
        <v>29.600000000000094</v>
      </c>
      <c r="B285" s="310" t="s">
        <v>637</v>
      </c>
      <c r="C285" s="52" t="s">
        <v>519</v>
      </c>
      <c r="D285" s="25"/>
      <c r="E285" s="1424"/>
      <c r="F285" s="1424"/>
      <c r="G285" s="1424"/>
      <c r="H285" s="1424">
        <v>2992</v>
      </c>
      <c r="I285" s="1405">
        <v>2992</v>
      </c>
      <c r="J285" s="1405">
        <f t="shared" si="40"/>
        <v>2992</v>
      </c>
      <c r="K285" s="1405">
        <f t="shared" si="40"/>
        <v>2992</v>
      </c>
      <c r="L285" s="1405">
        <f t="shared" si="40"/>
        <v>2992</v>
      </c>
      <c r="M285" s="1405">
        <f t="shared" si="41"/>
        <v>3291.2000000000003</v>
      </c>
      <c r="N285" s="1403">
        <f t="shared" si="42"/>
        <v>3291.2000000000003</v>
      </c>
      <c r="O285" s="1403">
        <f t="shared" si="42"/>
        <v>3291.2000000000003</v>
      </c>
      <c r="P285" s="1403">
        <f t="shared" si="42"/>
        <v>3291.2000000000003</v>
      </c>
      <c r="Q285" s="1403">
        <v>3291.2000000000003</v>
      </c>
      <c r="R285" s="25"/>
    </row>
    <row r="286" spans="1:18" ht="17.25">
      <c r="A286" s="608">
        <f t="shared" si="39"/>
        <v>29.610000000000095</v>
      </c>
      <c r="B286" s="310" t="s">
        <v>638</v>
      </c>
      <c r="C286" s="52" t="s">
        <v>519</v>
      </c>
      <c r="D286" s="25"/>
      <c r="E286" s="1424"/>
      <c r="F286" s="1424"/>
      <c r="G286" s="1424"/>
      <c r="H286" s="1424">
        <v>3240</v>
      </c>
      <c r="I286" s="1405">
        <v>3240</v>
      </c>
      <c r="J286" s="1405">
        <f t="shared" si="40"/>
        <v>3240</v>
      </c>
      <c r="K286" s="1405">
        <f t="shared" si="40"/>
        <v>3240</v>
      </c>
      <c r="L286" s="1405">
        <f t="shared" si="40"/>
        <v>3240</v>
      </c>
      <c r="M286" s="1405">
        <f t="shared" si="41"/>
        <v>3564.0000000000005</v>
      </c>
      <c r="N286" s="1403">
        <f t="shared" si="42"/>
        <v>3564.0000000000005</v>
      </c>
      <c r="O286" s="1403">
        <f t="shared" si="42"/>
        <v>3564.0000000000005</v>
      </c>
      <c r="P286" s="1403">
        <f t="shared" si="42"/>
        <v>3564.0000000000005</v>
      </c>
      <c r="Q286" s="1403">
        <v>3564.0000000000005</v>
      </c>
      <c r="R286" s="25"/>
    </row>
    <row r="287" spans="1:18" ht="17.25">
      <c r="A287" s="608">
        <f t="shared" si="39"/>
        <v>29.620000000000097</v>
      </c>
      <c r="B287" s="310" t="s">
        <v>639</v>
      </c>
      <c r="C287" s="52" t="s">
        <v>519</v>
      </c>
      <c r="D287" s="25"/>
      <c r="E287" s="1424"/>
      <c r="F287" s="1424"/>
      <c r="G287" s="1424"/>
      <c r="H287" s="1424">
        <v>3892</v>
      </c>
      <c r="I287" s="1405">
        <v>3892</v>
      </c>
      <c r="J287" s="1405">
        <f t="shared" si="40"/>
        <v>3892</v>
      </c>
      <c r="K287" s="1405">
        <f t="shared" si="40"/>
        <v>3892</v>
      </c>
      <c r="L287" s="1405">
        <f t="shared" si="40"/>
        <v>3892</v>
      </c>
      <c r="M287" s="1405">
        <f t="shared" si="41"/>
        <v>4281.2000000000007</v>
      </c>
      <c r="N287" s="1403">
        <f t="shared" si="42"/>
        <v>4281.2000000000007</v>
      </c>
      <c r="O287" s="1403">
        <f t="shared" si="42"/>
        <v>4281.2000000000007</v>
      </c>
      <c r="P287" s="1403">
        <f t="shared" si="42"/>
        <v>4281.2000000000007</v>
      </c>
      <c r="Q287" s="1403">
        <v>4281.2000000000007</v>
      </c>
      <c r="R287" s="25"/>
    </row>
    <row r="288" spans="1:18">
      <c r="A288" s="328">
        <v>30</v>
      </c>
      <c r="B288" s="589" t="s">
        <v>640</v>
      </c>
      <c r="C288" s="591"/>
      <c r="D288" s="330"/>
      <c r="E288" s="1425"/>
      <c r="F288" s="1425"/>
      <c r="G288" s="1425"/>
      <c r="H288" s="1425"/>
      <c r="I288" s="1408"/>
      <c r="J288" s="1408"/>
      <c r="K288" s="1408"/>
      <c r="L288" s="1408"/>
      <c r="M288" s="1408"/>
      <c r="N288" s="1407"/>
      <c r="O288" s="1407"/>
      <c r="P288" s="1407"/>
      <c r="Q288" s="1407"/>
      <c r="R288" s="330"/>
    </row>
    <row r="289" spans="1:18" ht="17.25">
      <c r="A289" s="608">
        <f>A288+0.01</f>
        <v>30.01</v>
      </c>
      <c r="B289" s="52" t="s">
        <v>641</v>
      </c>
      <c r="C289" s="52" t="s">
        <v>519</v>
      </c>
      <c r="D289" s="25"/>
      <c r="E289" s="1424"/>
      <c r="F289" s="1424"/>
      <c r="G289" s="1424"/>
      <c r="H289" s="1424">
        <v>112</v>
      </c>
      <c r="I289" s="1405">
        <v>112</v>
      </c>
      <c r="J289" s="1405">
        <f t="shared" si="40"/>
        <v>112</v>
      </c>
      <c r="K289" s="1405">
        <f t="shared" si="40"/>
        <v>112</v>
      </c>
      <c r="L289" s="1405">
        <f t="shared" si="40"/>
        <v>112</v>
      </c>
      <c r="M289" s="1405">
        <f t="shared" si="41"/>
        <v>123.20000000000002</v>
      </c>
      <c r="N289" s="1403">
        <f t="shared" si="42"/>
        <v>123.20000000000002</v>
      </c>
      <c r="O289" s="1403">
        <f t="shared" si="42"/>
        <v>123.20000000000002</v>
      </c>
      <c r="P289" s="1403">
        <f t="shared" si="42"/>
        <v>123.20000000000002</v>
      </c>
      <c r="Q289" s="1403">
        <v>123.20000000000002</v>
      </c>
      <c r="R289" s="25"/>
    </row>
    <row r="290" spans="1:18" ht="17.25">
      <c r="A290" s="608">
        <f t="shared" ref="A290:A294" si="43">A289+0.01</f>
        <v>30.020000000000003</v>
      </c>
      <c r="B290" s="52" t="s">
        <v>642</v>
      </c>
      <c r="C290" s="52" t="s">
        <v>519</v>
      </c>
      <c r="D290" s="25"/>
      <c r="E290" s="1424"/>
      <c r="F290" s="1424"/>
      <c r="G290" s="1424"/>
      <c r="H290" s="1424">
        <v>180</v>
      </c>
      <c r="I290" s="1405">
        <v>180</v>
      </c>
      <c r="J290" s="1405">
        <f t="shared" si="40"/>
        <v>180</v>
      </c>
      <c r="K290" s="1405">
        <f t="shared" si="40"/>
        <v>180</v>
      </c>
      <c r="L290" s="1405">
        <f t="shared" si="40"/>
        <v>180</v>
      </c>
      <c r="M290" s="1405">
        <f t="shared" si="41"/>
        <v>198.00000000000003</v>
      </c>
      <c r="N290" s="1403">
        <f t="shared" si="42"/>
        <v>198.00000000000003</v>
      </c>
      <c r="O290" s="1403">
        <f t="shared" si="42"/>
        <v>198.00000000000003</v>
      </c>
      <c r="P290" s="1403">
        <f t="shared" si="42"/>
        <v>198.00000000000003</v>
      </c>
      <c r="Q290" s="1403">
        <v>198.00000000000003</v>
      </c>
      <c r="R290" s="25"/>
    </row>
    <row r="291" spans="1:18" ht="17.25">
      <c r="A291" s="608">
        <f t="shared" si="43"/>
        <v>30.030000000000005</v>
      </c>
      <c r="B291" s="52" t="s">
        <v>643</v>
      </c>
      <c r="C291" s="52" t="s">
        <v>519</v>
      </c>
      <c r="D291" s="25"/>
      <c r="E291" s="1424"/>
      <c r="F291" s="1424"/>
      <c r="G291" s="1424"/>
      <c r="H291" s="1424">
        <v>275</v>
      </c>
      <c r="I291" s="1405">
        <v>275</v>
      </c>
      <c r="J291" s="1405">
        <f t="shared" si="40"/>
        <v>275</v>
      </c>
      <c r="K291" s="1405">
        <f t="shared" si="40"/>
        <v>275</v>
      </c>
      <c r="L291" s="1405">
        <f t="shared" si="40"/>
        <v>275</v>
      </c>
      <c r="M291" s="1405">
        <f t="shared" si="41"/>
        <v>302.5</v>
      </c>
      <c r="N291" s="1403">
        <f t="shared" si="42"/>
        <v>302.5</v>
      </c>
      <c r="O291" s="1403">
        <f t="shared" si="42"/>
        <v>302.5</v>
      </c>
      <c r="P291" s="1403">
        <f t="shared" si="42"/>
        <v>302.5</v>
      </c>
      <c r="Q291" s="1403">
        <v>302.5</v>
      </c>
      <c r="R291" s="25"/>
    </row>
    <row r="292" spans="1:18" ht="17.25">
      <c r="A292" s="608">
        <f t="shared" si="43"/>
        <v>30.040000000000006</v>
      </c>
      <c r="B292" s="52" t="s">
        <v>644</v>
      </c>
      <c r="C292" s="52" t="s">
        <v>519</v>
      </c>
      <c r="D292" s="25"/>
      <c r="E292" s="1424"/>
      <c r="F292" s="1424"/>
      <c r="G292" s="1424"/>
      <c r="H292" s="1424">
        <v>373</v>
      </c>
      <c r="I292" s="1405">
        <v>373</v>
      </c>
      <c r="J292" s="1405">
        <f t="shared" si="40"/>
        <v>373</v>
      </c>
      <c r="K292" s="1405">
        <f t="shared" si="40"/>
        <v>373</v>
      </c>
      <c r="L292" s="1405">
        <f t="shared" si="40"/>
        <v>373</v>
      </c>
      <c r="M292" s="1405">
        <f t="shared" si="41"/>
        <v>410.3</v>
      </c>
      <c r="N292" s="1403">
        <f t="shared" si="42"/>
        <v>410.3</v>
      </c>
      <c r="O292" s="1403">
        <f t="shared" si="42"/>
        <v>410.3</v>
      </c>
      <c r="P292" s="1403">
        <f t="shared" si="42"/>
        <v>410.3</v>
      </c>
      <c r="Q292" s="1403">
        <v>410.3</v>
      </c>
      <c r="R292" s="25"/>
    </row>
    <row r="293" spans="1:18" ht="17.25">
      <c r="A293" s="608">
        <f t="shared" si="43"/>
        <v>30.050000000000008</v>
      </c>
      <c r="B293" s="52" t="s">
        <v>645</v>
      </c>
      <c r="C293" s="52" t="s">
        <v>519</v>
      </c>
      <c r="D293" s="25"/>
      <c r="E293" s="1424"/>
      <c r="F293" s="1424"/>
      <c r="G293" s="1424"/>
      <c r="H293" s="1424">
        <v>475</v>
      </c>
      <c r="I293" s="1405">
        <v>475</v>
      </c>
      <c r="J293" s="1405">
        <f t="shared" si="40"/>
        <v>475</v>
      </c>
      <c r="K293" s="1405">
        <f t="shared" si="40"/>
        <v>475</v>
      </c>
      <c r="L293" s="1405">
        <f t="shared" si="40"/>
        <v>475</v>
      </c>
      <c r="M293" s="1405">
        <f t="shared" si="41"/>
        <v>522.5</v>
      </c>
      <c r="N293" s="1403">
        <f t="shared" si="42"/>
        <v>522.5</v>
      </c>
      <c r="O293" s="1403">
        <f t="shared" si="42"/>
        <v>522.5</v>
      </c>
      <c r="P293" s="1403">
        <f t="shared" si="42"/>
        <v>522.5</v>
      </c>
      <c r="Q293" s="1403">
        <v>522.5</v>
      </c>
      <c r="R293" s="25"/>
    </row>
    <row r="294" spans="1:18" ht="17.25">
      <c r="A294" s="608">
        <f t="shared" si="43"/>
        <v>30.060000000000009</v>
      </c>
      <c r="B294" s="52" t="s">
        <v>572</v>
      </c>
      <c r="C294" s="52" t="s">
        <v>519</v>
      </c>
      <c r="D294" s="25"/>
      <c r="E294" s="1424"/>
      <c r="F294" s="1424"/>
      <c r="G294" s="1424"/>
      <c r="H294" s="1424">
        <v>850</v>
      </c>
      <c r="I294" s="1405">
        <v>850</v>
      </c>
      <c r="J294" s="1405">
        <f t="shared" si="40"/>
        <v>850</v>
      </c>
      <c r="K294" s="1405">
        <f t="shared" si="40"/>
        <v>850</v>
      </c>
      <c r="L294" s="1405">
        <f t="shared" si="40"/>
        <v>850</v>
      </c>
      <c r="M294" s="1405">
        <f t="shared" si="41"/>
        <v>935.00000000000011</v>
      </c>
      <c r="N294" s="1403">
        <f t="shared" si="42"/>
        <v>935.00000000000011</v>
      </c>
      <c r="O294" s="1403">
        <f t="shared" si="42"/>
        <v>935.00000000000011</v>
      </c>
      <c r="P294" s="1403">
        <f t="shared" si="42"/>
        <v>935.00000000000011</v>
      </c>
      <c r="Q294" s="1403">
        <v>935.00000000000011</v>
      </c>
      <c r="R294" s="25"/>
    </row>
    <row r="295" spans="1:18">
      <c r="A295" s="328">
        <v>31</v>
      </c>
      <c r="B295" s="589" t="s">
        <v>649</v>
      </c>
      <c r="C295" s="445"/>
      <c r="D295" s="330"/>
      <c r="E295" s="1425"/>
      <c r="F295" s="1425"/>
      <c r="G295" s="1425"/>
      <c r="H295" s="1425"/>
      <c r="I295" s="1408"/>
      <c r="J295" s="1408"/>
      <c r="K295" s="1408"/>
      <c r="L295" s="1408"/>
      <c r="M295" s="1408"/>
      <c r="N295" s="1407"/>
      <c r="O295" s="1407"/>
      <c r="P295" s="1407"/>
      <c r="Q295" s="1407"/>
      <c r="R295" s="330"/>
    </row>
    <row r="296" spans="1:18" ht="17.25">
      <c r="A296" s="608">
        <f>A295+0.01</f>
        <v>31.01</v>
      </c>
      <c r="B296" s="52" t="s">
        <v>561</v>
      </c>
      <c r="C296" s="37" t="s">
        <v>519</v>
      </c>
      <c r="D296" s="25"/>
      <c r="E296" s="1424"/>
      <c r="F296" s="1424"/>
      <c r="G296" s="1424"/>
      <c r="H296" s="1424">
        <v>15000</v>
      </c>
      <c r="I296" s="1405">
        <v>15000</v>
      </c>
      <c r="J296" s="1405">
        <f t="shared" si="40"/>
        <v>15000</v>
      </c>
      <c r="K296" s="1405">
        <f t="shared" si="40"/>
        <v>15000</v>
      </c>
      <c r="L296" s="1405">
        <f t="shared" si="40"/>
        <v>15000</v>
      </c>
      <c r="M296" s="1405">
        <f t="shared" si="41"/>
        <v>16500</v>
      </c>
      <c r="N296" s="1403">
        <f t="shared" si="42"/>
        <v>16500</v>
      </c>
      <c r="O296" s="1403">
        <f t="shared" si="42"/>
        <v>16500</v>
      </c>
      <c r="P296" s="1403">
        <f t="shared" si="42"/>
        <v>16500</v>
      </c>
      <c r="Q296" s="1403">
        <v>16500</v>
      </c>
      <c r="R296" s="25"/>
    </row>
    <row r="297" spans="1:18" ht="17.25">
      <c r="A297" s="608">
        <f t="shared" ref="A297:A300" si="44">A296+0.01</f>
        <v>31.020000000000003</v>
      </c>
      <c r="B297" s="52" t="s">
        <v>563</v>
      </c>
      <c r="C297" s="37" t="s">
        <v>519</v>
      </c>
      <c r="D297" s="25"/>
      <c r="E297" s="1424"/>
      <c r="F297" s="1424"/>
      <c r="G297" s="1424"/>
      <c r="H297" s="1424">
        <v>21750</v>
      </c>
      <c r="I297" s="1405">
        <v>21750</v>
      </c>
      <c r="J297" s="1405">
        <f t="shared" si="40"/>
        <v>21750</v>
      </c>
      <c r="K297" s="1405">
        <f t="shared" si="40"/>
        <v>21750</v>
      </c>
      <c r="L297" s="1405">
        <f t="shared" si="40"/>
        <v>21750</v>
      </c>
      <c r="M297" s="1405">
        <f t="shared" si="41"/>
        <v>23925.000000000004</v>
      </c>
      <c r="N297" s="1403">
        <f t="shared" si="42"/>
        <v>23925.000000000004</v>
      </c>
      <c r="O297" s="1403">
        <f t="shared" si="42"/>
        <v>23925.000000000004</v>
      </c>
      <c r="P297" s="1403">
        <f t="shared" si="42"/>
        <v>23925.000000000004</v>
      </c>
      <c r="Q297" s="1403">
        <v>23925.000000000004</v>
      </c>
      <c r="R297" s="25"/>
    </row>
    <row r="298" spans="1:18" ht="17.25">
      <c r="A298" s="608">
        <f t="shared" si="44"/>
        <v>31.030000000000005</v>
      </c>
      <c r="B298" s="52" t="s">
        <v>646</v>
      </c>
      <c r="C298" s="37" t="s">
        <v>519</v>
      </c>
      <c r="D298" s="25"/>
      <c r="E298" s="1424"/>
      <c r="F298" s="1424"/>
      <c r="G298" s="1424"/>
      <c r="H298" s="1424">
        <v>26300</v>
      </c>
      <c r="I298" s="1405">
        <v>26300</v>
      </c>
      <c r="J298" s="1405">
        <f t="shared" si="40"/>
        <v>26300</v>
      </c>
      <c r="K298" s="1405">
        <f t="shared" si="40"/>
        <v>26300</v>
      </c>
      <c r="L298" s="1405">
        <f t="shared" si="40"/>
        <v>26300</v>
      </c>
      <c r="M298" s="1405">
        <f t="shared" si="41"/>
        <v>28930.000000000004</v>
      </c>
      <c r="N298" s="1403">
        <f t="shared" si="42"/>
        <v>28930.000000000004</v>
      </c>
      <c r="O298" s="1403">
        <f t="shared" si="42"/>
        <v>28930.000000000004</v>
      </c>
      <c r="P298" s="1403">
        <f t="shared" si="42"/>
        <v>28930.000000000004</v>
      </c>
      <c r="Q298" s="1403">
        <v>28930.000000000004</v>
      </c>
      <c r="R298" s="25"/>
    </row>
    <row r="299" spans="1:18" ht="17.25">
      <c r="A299" s="608">
        <f t="shared" si="44"/>
        <v>31.040000000000006</v>
      </c>
      <c r="B299" s="52" t="s">
        <v>647</v>
      </c>
      <c r="C299" s="37" t="s">
        <v>519</v>
      </c>
      <c r="D299" s="25"/>
      <c r="E299" s="1424"/>
      <c r="F299" s="1424"/>
      <c r="G299" s="1424"/>
      <c r="H299" s="1424">
        <v>33375</v>
      </c>
      <c r="I299" s="1405">
        <v>33375</v>
      </c>
      <c r="J299" s="1405">
        <f t="shared" si="40"/>
        <v>33375</v>
      </c>
      <c r="K299" s="1405">
        <f t="shared" si="40"/>
        <v>33375</v>
      </c>
      <c r="L299" s="1405">
        <f t="shared" si="40"/>
        <v>33375</v>
      </c>
      <c r="M299" s="1405">
        <f t="shared" si="41"/>
        <v>36712.5</v>
      </c>
      <c r="N299" s="1403">
        <f t="shared" si="42"/>
        <v>36712.5</v>
      </c>
      <c r="O299" s="1403">
        <f t="shared" si="42"/>
        <v>36712.5</v>
      </c>
      <c r="P299" s="1403">
        <f t="shared" si="42"/>
        <v>36712.5</v>
      </c>
      <c r="Q299" s="1403">
        <v>36712.5</v>
      </c>
      <c r="R299" s="25"/>
    </row>
    <row r="300" spans="1:18" ht="17.25">
      <c r="A300" s="608">
        <f t="shared" si="44"/>
        <v>31.050000000000008</v>
      </c>
      <c r="B300" s="52" t="s">
        <v>648</v>
      </c>
      <c r="C300" s="37" t="s">
        <v>519</v>
      </c>
      <c r="D300" s="25"/>
      <c r="E300" s="1424"/>
      <c r="F300" s="1424"/>
      <c r="G300" s="1424"/>
      <c r="H300" s="1424">
        <v>37500</v>
      </c>
      <c r="I300" s="1405">
        <v>37500</v>
      </c>
      <c r="J300" s="1405">
        <f t="shared" si="40"/>
        <v>37500</v>
      </c>
      <c r="K300" s="1405">
        <f t="shared" si="40"/>
        <v>37500</v>
      </c>
      <c r="L300" s="1405">
        <f t="shared" si="40"/>
        <v>37500</v>
      </c>
      <c r="M300" s="1405">
        <f t="shared" si="41"/>
        <v>41250</v>
      </c>
      <c r="N300" s="1403">
        <f t="shared" si="42"/>
        <v>41250</v>
      </c>
      <c r="O300" s="1403">
        <f t="shared" si="42"/>
        <v>41250</v>
      </c>
      <c r="P300" s="1403">
        <f t="shared" si="42"/>
        <v>41250</v>
      </c>
      <c r="Q300" s="1403">
        <v>41250</v>
      </c>
      <c r="R300" s="25"/>
    </row>
    <row r="301" spans="1:18">
      <c r="A301" s="328">
        <v>32</v>
      </c>
      <c r="B301" s="589" t="s">
        <v>650</v>
      </c>
      <c r="C301" s="445"/>
      <c r="D301" s="330"/>
      <c r="E301" s="1425"/>
      <c r="F301" s="1425"/>
      <c r="G301" s="1425"/>
      <c r="H301" s="1425"/>
      <c r="I301" s="1408"/>
      <c r="J301" s="1408"/>
      <c r="K301" s="1408"/>
      <c r="L301" s="1408"/>
      <c r="M301" s="1408"/>
      <c r="N301" s="1407"/>
      <c r="O301" s="1407"/>
      <c r="P301" s="1407"/>
      <c r="Q301" s="1407"/>
      <c r="R301" s="330"/>
    </row>
    <row r="302" spans="1:18" ht="17.25">
      <c r="A302" s="608">
        <f>A301+0.01</f>
        <v>32.01</v>
      </c>
      <c r="B302" s="52" t="s">
        <v>641</v>
      </c>
      <c r="C302" s="52" t="s">
        <v>519</v>
      </c>
      <c r="D302" s="25"/>
      <c r="E302" s="1424"/>
      <c r="F302" s="1424"/>
      <c r="G302" s="1424"/>
      <c r="H302" s="1424">
        <v>2750</v>
      </c>
      <c r="I302" s="1405">
        <v>2750</v>
      </c>
      <c r="J302" s="1405">
        <f t="shared" si="40"/>
        <v>2750</v>
      </c>
      <c r="K302" s="1405">
        <f t="shared" si="40"/>
        <v>2750</v>
      </c>
      <c r="L302" s="1405">
        <f t="shared" si="40"/>
        <v>2750</v>
      </c>
      <c r="M302" s="1405">
        <f t="shared" si="41"/>
        <v>3025.0000000000005</v>
      </c>
      <c r="N302" s="1403">
        <f t="shared" si="42"/>
        <v>3025.0000000000005</v>
      </c>
      <c r="O302" s="1403">
        <f t="shared" si="42"/>
        <v>3025.0000000000005</v>
      </c>
      <c r="P302" s="1403">
        <f t="shared" si="42"/>
        <v>3025.0000000000005</v>
      </c>
      <c r="Q302" s="1403">
        <v>3025.0000000000005</v>
      </c>
      <c r="R302" s="25"/>
    </row>
    <row r="303" spans="1:18" ht="17.25">
      <c r="A303" s="608">
        <f t="shared" ref="A303:A307" si="45">A302+0.01</f>
        <v>32.019999999999996</v>
      </c>
      <c r="B303" s="52" t="s">
        <v>642</v>
      </c>
      <c r="C303" s="52" t="s">
        <v>519</v>
      </c>
      <c r="D303" s="25"/>
      <c r="E303" s="1424"/>
      <c r="F303" s="1424"/>
      <c r="G303" s="1424"/>
      <c r="H303" s="1424">
        <v>3750</v>
      </c>
      <c r="I303" s="1405">
        <v>3750</v>
      </c>
      <c r="J303" s="1405">
        <f t="shared" si="40"/>
        <v>3750</v>
      </c>
      <c r="K303" s="1405">
        <f t="shared" si="40"/>
        <v>3750</v>
      </c>
      <c r="L303" s="1405">
        <f t="shared" si="40"/>
        <v>3750</v>
      </c>
      <c r="M303" s="1405">
        <f t="shared" si="41"/>
        <v>4125</v>
      </c>
      <c r="N303" s="1403">
        <f t="shared" si="42"/>
        <v>4125</v>
      </c>
      <c r="O303" s="1403">
        <f t="shared" si="42"/>
        <v>4125</v>
      </c>
      <c r="P303" s="1403">
        <f t="shared" si="42"/>
        <v>4125</v>
      </c>
      <c r="Q303" s="1403">
        <v>4125</v>
      </c>
      <c r="R303" s="25"/>
    </row>
    <row r="304" spans="1:18" ht="17.25">
      <c r="A304" s="608">
        <f t="shared" si="45"/>
        <v>32.029999999999994</v>
      </c>
      <c r="B304" s="52" t="s">
        <v>643</v>
      </c>
      <c r="C304" s="52" t="s">
        <v>519</v>
      </c>
      <c r="D304" s="25"/>
      <c r="E304" s="1424"/>
      <c r="F304" s="1424"/>
      <c r="G304" s="1424"/>
      <c r="H304" s="1424">
        <v>4500</v>
      </c>
      <c r="I304" s="1405">
        <v>4500</v>
      </c>
      <c r="J304" s="1405">
        <f t="shared" si="40"/>
        <v>4500</v>
      </c>
      <c r="K304" s="1405">
        <f t="shared" si="40"/>
        <v>4500</v>
      </c>
      <c r="L304" s="1405">
        <f t="shared" si="40"/>
        <v>4500</v>
      </c>
      <c r="M304" s="1405">
        <f t="shared" si="41"/>
        <v>4950</v>
      </c>
      <c r="N304" s="1403">
        <f t="shared" si="42"/>
        <v>4950</v>
      </c>
      <c r="O304" s="1403">
        <f t="shared" si="42"/>
        <v>4950</v>
      </c>
      <c r="P304" s="1403">
        <f t="shared" si="42"/>
        <v>4950</v>
      </c>
      <c r="Q304" s="1403">
        <v>4950</v>
      </c>
      <c r="R304" s="25"/>
    </row>
    <row r="305" spans="1:18" ht="17.25">
      <c r="A305" s="608">
        <f t="shared" si="45"/>
        <v>32.039999999999992</v>
      </c>
      <c r="B305" s="52" t="s">
        <v>644</v>
      </c>
      <c r="C305" s="52" t="s">
        <v>519</v>
      </c>
      <c r="D305" s="25"/>
      <c r="E305" s="1424"/>
      <c r="F305" s="1424"/>
      <c r="G305" s="1424"/>
      <c r="H305" s="1424">
        <v>9500</v>
      </c>
      <c r="I305" s="1405">
        <v>9500</v>
      </c>
      <c r="J305" s="1405">
        <f t="shared" si="40"/>
        <v>9500</v>
      </c>
      <c r="K305" s="1405">
        <f t="shared" si="40"/>
        <v>9500</v>
      </c>
      <c r="L305" s="1405">
        <f t="shared" si="40"/>
        <v>9500</v>
      </c>
      <c r="M305" s="1405">
        <f t="shared" si="41"/>
        <v>10450</v>
      </c>
      <c r="N305" s="1403">
        <f t="shared" si="42"/>
        <v>10450</v>
      </c>
      <c r="O305" s="1403">
        <f t="shared" si="42"/>
        <v>10450</v>
      </c>
      <c r="P305" s="1403">
        <f t="shared" si="42"/>
        <v>10450</v>
      </c>
      <c r="Q305" s="1403">
        <v>10450</v>
      </c>
      <c r="R305" s="25"/>
    </row>
    <row r="306" spans="1:18" ht="17.25">
      <c r="A306" s="608">
        <f t="shared" si="45"/>
        <v>32.04999999999999</v>
      </c>
      <c r="B306" s="52" t="s">
        <v>645</v>
      </c>
      <c r="C306" s="52" t="s">
        <v>519</v>
      </c>
      <c r="D306" s="25"/>
      <c r="E306" s="1424"/>
      <c r="F306" s="1424"/>
      <c r="G306" s="1424"/>
      <c r="H306" s="1424">
        <v>13775</v>
      </c>
      <c r="I306" s="1405">
        <v>13775</v>
      </c>
      <c r="J306" s="1405">
        <f t="shared" si="40"/>
        <v>13775</v>
      </c>
      <c r="K306" s="1405">
        <f t="shared" si="40"/>
        <v>13775</v>
      </c>
      <c r="L306" s="1405">
        <f t="shared" si="40"/>
        <v>13775</v>
      </c>
      <c r="M306" s="1405">
        <f t="shared" si="41"/>
        <v>15152.500000000002</v>
      </c>
      <c r="N306" s="1403">
        <f t="shared" si="42"/>
        <v>15152.500000000002</v>
      </c>
      <c r="O306" s="1403">
        <f t="shared" si="42"/>
        <v>15152.500000000002</v>
      </c>
      <c r="P306" s="1403">
        <f t="shared" si="42"/>
        <v>15152.500000000002</v>
      </c>
      <c r="Q306" s="1403">
        <v>15152.500000000002</v>
      </c>
      <c r="R306" s="25"/>
    </row>
    <row r="307" spans="1:18" ht="17.25">
      <c r="A307" s="608">
        <f t="shared" si="45"/>
        <v>32.059999999999988</v>
      </c>
      <c r="B307" s="52" t="s">
        <v>572</v>
      </c>
      <c r="C307" s="52" t="s">
        <v>519</v>
      </c>
      <c r="D307" s="25"/>
      <c r="E307" s="1424"/>
      <c r="F307" s="1424"/>
      <c r="G307" s="1424"/>
      <c r="H307" s="1424">
        <v>20575</v>
      </c>
      <c r="I307" s="1405">
        <v>20575</v>
      </c>
      <c r="J307" s="1405">
        <f t="shared" si="40"/>
        <v>20575</v>
      </c>
      <c r="K307" s="1405">
        <f t="shared" si="40"/>
        <v>20575</v>
      </c>
      <c r="L307" s="1405">
        <f t="shared" si="40"/>
        <v>20575</v>
      </c>
      <c r="M307" s="1405">
        <f t="shared" si="41"/>
        <v>22632.500000000004</v>
      </c>
      <c r="N307" s="1403">
        <f t="shared" si="42"/>
        <v>22632.500000000004</v>
      </c>
      <c r="O307" s="1403">
        <f t="shared" si="42"/>
        <v>22632.500000000004</v>
      </c>
      <c r="P307" s="1403">
        <f t="shared" si="42"/>
        <v>22632.500000000004</v>
      </c>
      <c r="Q307" s="1403">
        <v>22632.500000000004</v>
      </c>
      <c r="R307" s="25"/>
    </row>
    <row r="308" spans="1:18">
      <c r="A308" s="328">
        <v>33</v>
      </c>
      <c r="B308" s="589" t="s">
        <v>651</v>
      </c>
      <c r="C308" s="445"/>
      <c r="D308" s="330"/>
      <c r="E308" s="1425"/>
      <c r="F308" s="1425"/>
      <c r="G308" s="1425"/>
      <c r="H308" s="1425"/>
      <c r="I308" s="1408"/>
      <c r="J308" s="1408"/>
      <c r="K308" s="1408"/>
      <c r="L308" s="1408"/>
      <c r="M308" s="1408"/>
      <c r="N308" s="1407"/>
      <c r="O308" s="1407"/>
      <c r="P308" s="1407"/>
      <c r="Q308" s="1407"/>
      <c r="R308" s="330"/>
    </row>
    <row r="309" spans="1:18" ht="17.25">
      <c r="A309" s="608">
        <f>A308+0.01</f>
        <v>33.01</v>
      </c>
      <c r="B309" s="52" t="s">
        <v>643</v>
      </c>
      <c r="C309" s="52" t="s">
        <v>519</v>
      </c>
      <c r="D309" s="25"/>
      <c r="E309" s="1424"/>
      <c r="F309" s="1424"/>
      <c r="G309" s="1424"/>
      <c r="H309" s="1424">
        <v>300</v>
      </c>
      <c r="I309" s="1405">
        <v>300</v>
      </c>
      <c r="J309" s="1405">
        <f t="shared" si="40"/>
        <v>300</v>
      </c>
      <c r="K309" s="1405">
        <f t="shared" si="40"/>
        <v>300</v>
      </c>
      <c r="L309" s="1405">
        <f t="shared" si="40"/>
        <v>300</v>
      </c>
      <c r="M309" s="1405">
        <f t="shared" si="41"/>
        <v>330</v>
      </c>
      <c r="N309" s="1403">
        <f t="shared" si="42"/>
        <v>330</v>
      </c>
      <c r="O309" s="1403">
        <f t="shared" si="42"/>
        <v>330</v>
      </c>
      <c r="P309" s="1403">
        <f t="shared" si="42"/>
        <v>330</v>
      </c>
      <c r="Q309" s="1403">
        <v>330</v>
      </c>
      <c r="R309" s="25"/>
    </row>
    <row r="310" spans="1:18" ht="17.25">
      <c r="A310" s="608">
        <f t="shared" ref="A310:A314" si="46">A309+0.01</f>
        <v>33.019999999999996</v>
      </c>
      <c r="B310" s="52" t="s">
        <v>644</v>
      </c>
      <c r="C310" s="52" t="s">
        <v>519</v>
      </c>
      <c r="D310" s="25"/>
      <c r="E310" s="1424"/>
      <c r="F310" s="1424"/>
      <c r="G310" s="1424"/>
      <c r="H310" s="1424">
        <v>400</v>
      </c>
      <c r="I310" s="1405">
        <v>400</v>
      </c>
      <c r="J310" s="1405">
        <f t="shared" si="40"/>
        <v>400</v>
      </c>
      <c r="K310" s="1405">
        <f t="shared" si="40"/>
        <v>400</v>
      </c>
      <c r="L310" s="1405">
        <f t="shared" si="40"/>
        <v>400</v>
      </c>
      <c r="M310" s="1405">
        <f t="shared" si="41"/>
        <v>440.00000000000006</v>
      </c>
      <c r="N310" s="1403">
        <f t="shared" si="42"/>
        <v>440.00000000000006</v>
      </c>
      <c r="O310" s="1403">
        <f t="shared" si="42"/>
        <v>440.00000000000006</v>
      </c>
      <c r="P310" s="1403">
        <f t="shared" si="42"/>
        <v>440.00000000000006</v>
      </c>
      <c r="Q310" s="1403">
        <v>440.00000000000006</v>
      </c>
      <c r="R310" s="25"/>
    </row>
    <row r="311" spans="1:18" ht="17.25">
      <c r="A311" s="608">
        <f t="shared" si="46"/>
        <v>33.029999999999994</v>
      </c>
      <c r="B311" s="52" t="s">
        <v>645</v>
      </c>
      <c r="C311" s="52" t="s">
        <v>519</v>
      </c>
      <c r="D311" s="25"/>
      <c r="E311" s="1424"/>
      <c r="F311" s="1424"/>
      <c r="G311" s="1424"/>
      <c r="H311" s="1424">
        <v>500</v>
      </c>
      <c r="I311" s="1405">
        <v>500</v>
      </c>
      <c r="J311" s="1405">
        <f t="shared" si="40"/>
        <v>500</v>
      </c>
      <c r="K311" s="1405">
        <f t="shared" si="40"/>
        <v>500</v>
      </c>
      <c r="L311" s="1405">
        <f t="shared" si="40"/>
        <v>500</v>
      </c>
      <c r="M311" s="1405">
        <f t="shared" si="41"/>
        <v>550</v>
      </c>
      <c r="N311" s="1403">
        <f t="shared" si="42"/>
        <v>550</v>
      </c>
      <c r="O311" s="1403">
        <f t="shared" si="42"/>
        <v>550</v>
      </c>
      <c r="P311" s="1403">
        <f t="shared" si="42"/>
        <v>550</v>
      </c>
      <c r="Q311" s="1403">
        <v>550</v>
      </c>
      <c r="R311" s="25"/>
    </row>
    <row r="312" spans="1:18" ht="17.25">
      <c r="A312" s="608">
        <f t="shared" si="46"/>
        <v>33.039999999999992</v>
      </c>
      <c r="B312" s="52" t="s">
        <v>652</v>
      </c>
      <c r="C312" s="52" t="s">
        <v>519</v>
      </c>
      <c r="D312" s="25"/>
      <c r="E312" s="1424"/>
      <c r="F312" s="1424"/>
      <c r="G312" s="1424"/>
      <c r="H312" s="1424">
        <v>650</v>
      </c>
      <c r="I312" s="1405">
        <v>650</v>
      </c>
      <c r="J312" s="1405">
        <f t="shared" si="40"/>
        <v>650</v>
      </c>
      <c r="K312" s="1405">
        <f t="shared" si="40"/>
        <v>650</v>
      </c>
      <c r="L312" s="1405">
        <f t="shared" si="40"/>
        <v>650</v>
      </c>
      <c r="M312" s="1405">
        <f t="shared" si="41"/>
        <v>715.00000000000011</v>
      </c>
      <c r="N312" s="1403">
        <f t="shared" si="42"/>
        <v>715.00000000000011</v>
      </c>
      <c r="O312" s="1403">
        <f t="shared" si="42"/>
        <v>715.00000000000011</v>
      </c>
      <c r="P312" s="1403">
        <f t="shared" si="42"/>
        <v>715.00000000000011</v>
      </c>
      <c r="Q312" s="1403">
        <v>715.00000000000011</v>
      </c>
      <c r="R312" s="25"/>
    </row>
    <row r="313" spans="1:18" ht="17.25">
      <c r="A313" s="608">
        <f t="shared" si="46"/>
        <v>33.04999999999999</v>
      </c>
      <c r="B313" s="52" t="s">
        <v>561</v>
      </c>
      <c r="C313" s="52" t="s">
        <v>519</v>
      </c>
      <c r="D313" s="25"/>
      <c r="E313" s="1424"/>
      <c r="F313" s="1424"/>
      <c r="G313" s="1424"/>
      <c r="H313" s="1424">
        <v>700</v>
      </c>
      <c r="I313" s="1405">
        <v>700</v>
      </c>
      <c r="J313" s="1405">
        <f t="shared" si="40"/>
        <v>700</v>
      </c>
      <c r="K313" s="1405">
        <f t="shared" si="40"/>
        <v>700</v>
      </c>
      <c r="L313" s="1405">
        <f t="shared" si="40"/>
        <v>700</v>
      </c>
      <c r="M313" s="1405">
        <f t="shared" si="41"/>
        <v>770.00000000000011</v>
      </c>
      <c r="N313" s="1403">
        <f t="shared" si="42"/>
        <v>770.00000000000011</v>
      </c>
      <c r="O313" s="1403">
        <f t="shared" si="42"/>
        <v>770.00000000000011</v>
      </c>
      <c r="P313" s="1403">
        <f t="shared" si="42"/>
        <v>770.00000000000011</v>
      </c>
      <c r="Q313" s="1403">
        <v>770.00000000000011</v>
      </c>
      <c r="R313" s="25"/>
    </row>
    <row r="314" spans="1:18" ht="17.25">
      <c r="A314" s="608">
        <f t="shared" si="46"/>
        <v>33.059999999999988</v>
      </c>
      <c r="B314" s="52" t="s">
        <v>563</v>
      </c>
      <c r="C314" s="52" t="s">
        <v>519</v>
      </c>
      <c r="D314" s="25"/>
      <c r="E314" s="1424"/>
      <c r="F314" s="1424"/>
      <c r="G314" s="1424"/>
      <c r="H314" s="1424">
        <v>750</v>
      </c>
      <c r="I314" s="1405">
        <v>750</v>
      </c>
      <c r="J314" s="1405">
        <f t="shared" si="40"/>
        <v>750</v>
      </c>
      <c r="K314" s="1405">
        <f t="shared" si="40"/>
        <v>750</v>
      </c>
      <c r="L314" s="1405">
        <f t="shared" si="40"/>
        <v>750</v>
      </c>
      <c r="M314" s="1405">
        <f t="shared" si="41"/>
        <v>825.00000000000011</v>
      </c>
      <c r="N314" s="1403">
        <f t="shared" si="42"/>
        <v>825.00000000000011</v>
      </c>
      <c r="O314" s="1403">
        <f t="shared" si="42"/>
        <v>825.00000000000011</v>
      </c>
      <c r="P314" s="1403">
        <f t="shared" si="42"/>
        <v>825.00000000000011</v>
      </c>
      <c r="Q314" s="1403">
        <v>825.00000000000011</v>
      </c>
      <c r="R314" s="25"/>
    </row>
    <row r="315" spans="1:18" ht="15.75">
      <c r="A315" s="328">
        <v>34</v>
      </c>
      <c r="B315" s="588" t="s">
        <v>653</v>
      </c>
      <c r="C315" s="445"/>
      <c r="D315" s="330"/>
      <c r="E315" s="1425"/>
      <c r="F315" s="1425"/>
      <c r="G315" s="1425"/>
      <c r="H315" s="1425"/>
      <c r="I315" s="1408"/>
      <c r="J315" s="1408"/>
      <c r="K315" s="1408"/>
      <c r="L315" s="1408"/>
      <c r="M315" s="1408"/>
      <c r="N315" s="1407"/>
      <c r="O315" s="1407"/>
      <c r="P315" s="1407"/>
      <c r="Q315" s="1407"/>
      <c r="R315" s="330"/>
    </row>
    <row r="316" spans="1:18" ht="17.25">
      <c r="A316" s="608">
        <f>A315+0.01</f>
        <v>34.01</v>
      </c>
      <c r="B316" s="312" t="s">
        <v>407</v>
      </c>
      <c r="C316" s="52" t="s">
        <v>519</v>
      </c>
      <c r="D316" s="25"/>
      <c r="E316" s="1424"/>
      <c r="F316" s="1424"/>
      <c r="G316" s="1424"/>
      <c r="H316" s="1424">
        <v>4000</v>
      </c>
      <c r="I316" s="1405">
        <v>4000</v>
      </c>
      <c r="J316" s="1405">
        <f t="shared" si="40"/>
        <v>4000</v>
      </c>
      <c r="K316" s="1405">
        <f t="shared" si="40"/>
        <v>4000</v>
      </c>
      <c r="L316" s="1405">
        <f t="shared" si="40"/>
        <v>4000</v>
      </c>
      <c r="M316" s="1405">
        <f t="shared" si="41"/>
        <v>4400</v>
      </c>
      <c r="N316" s="1403">
        <f t="shared" si="42"/>
        <v>4400</v>
      </c>
      <c r="O316" s="1403">
        <f t="shared" si="42"/>
        <v>4400</v>
      </c>
      <c r="P316" s="1403">
        <f t="shared" si="42"/>
        <v>4400</v>
      </c>
      <c r="Q316" s="1403">
        <v>4400</v>
      </c>
      <c r="R316" s="25"/>
    </row>
    <row r="317" spans="1:18" ht="17.25">
      <c r="A317" s="608">
        <f t="shared" ref="A317:A326" si="47">A316+0.01</f>
        <v>34.019999999999996</v>
      </c>
      <c r="B317" s="312" t="s">
        <v>408</v>
      </c>
      <c r="C317" s="52" t="s">
        <v>519</v>
      </c>
      <c r="D317" s="25"/>
      <c r="E317" s="1424"/>
      <c r="F317" s="1424"/>
      <c r="G317" s="1424"/>
      <c r="H317" s="1424">
        <v>4400</v>
      </c>
      <c r="I317" s="1405">
        <v>4400</v>
      </c>
      <c r="J317" s="1405">
        <f t="shared" si="40"/>
        <v>4400</v>
      </c>
      <c r="K317" s="1405">
        <f t="shared" si="40"/>
        <v>4400</v>
      </c>
      <c r="L317" s="1405">
        <f t="shared" si="40"/>
        <v>4400</v>
      </c>
      <c r="M317" s="1405">
        <f t="shared" si="41"/>
        <v>4840</v>
      </c>
      <c r="N317" s="1403">
        <f t="shared" si="42"/>
        <v>4840</v>
      </c>
      <c r="O317" s="1403">
        <f t="shared" si="42"/>
        <v>4840</v>
      </c>
      <c r="P317" s="1403">
        <f t="shared" si="42"/>
        <v>4840</v>
      </c>
      <c r="Q317" s="1403">
        <v>4840</v>
      </c>
      <c r="R317" s="25"/>
    </row>
    <row r="318" spans="1:18" ht="17.25">
      <c r="A318" s="608">
        <f t="shared" si="47"/>
        <v>34.029999999999994</v>
      </c>
      <c r="B318" s="312" t="s">
        <v>654</v>
      </c>
      <c r="C318" s="52" t="s">
        <v>519</v>
      </c>
      <c r="D318" s="25"/>
      <c r="E318" s="1424"/>
      <c r="F318" s="1424"/>
      <c r="G318" s="1424"/>
      <c r="H318" s="1424">
        <v>4800</v>
      </c>
      <c r="I318" s="1405">
        <v>4800</v>
      </c>
      <c r="J318" s="1405">
        <f t="shared" si="40"/>
        <v>4800</v>
      </c>
      <c r="K318" s="1405">
        <f t="shared" si="40"/>
        <v>4800</v>
      </c>
      <c r="L318" s="1405">
        <f t="shared" si="40"/>
        <v>4800</v>
      </c>
      <c r="M318" s="1405">
        <f t="shared" si="41"/>
        <v>5280</v>
      </c>
      <c r="N318" s="1403">
        <f t="shared" si="42"/>
        <v>5280</v>
      </c>
      <c r="O318" s="1403">
        <f t="shared" si="42"/>
        <v>5280</v>
      </c>
      <c r="P318" s="1403">
        <f t="shared" si="42"/>
        <v>5280</v>
      </c>
      <c r="Q318" s="1403">
        <v>5280</v>
      </c>
      <c r="R318" s="25"/>
    </row>
    <row r="319" spans="1:18" ht="17.25">
      <c r="A319" s="608">
        <f t="shared" si="47"/>
        <v>34.039999999999992</v>
      </c>
      <c r="B319" s="312" t="s">
        <v>655</v>
      </c>
      <c r="C319" s="52" t="s">
        <v>519</v>
      </c>
      <c r="D319" s="25"/>
      <c r="E319" s="1424"/>
      <c r="F319" s="1424"/>
      <c r="G319" s="1424"/>
      <c r="H319" s="1424">
        <v>5200</v>
      </c>
      <c r="I319" s="1405">
        <v>5200</v>
      </c>
      <c r="J319" s="1405">
        <f t="shared" ref="J319:L382" si="48">I319</f>
        <v>5200</v>
      </c>
      <c r="K319" s="1405">
        <f t="shared" si="48"/>
        <v>5200</v>
      </c>
      <c r="L319" s="1405">
        <f t="shared" si="48"/>
        <v>5200</v>
      </c>
      <c r="M319" s="1405">
        <f t="shared" si="41"/>
        <v>5720.0000000000009</v>
      </c>
      <c r="N319" s="1403">
        <f t="shared" ref="N319:P382" si="49">M319</f>
        <v>5720.0000000000009</v>
      </c>
      <c r="O319" s="1403">
        <f t="shared" si="49"/>
        <v>5720.0000000000009</v>
      </c>
      <c r="P319" s="1403">
        <f t="shared" si="49"/>
        <v>5720.0000000000009</v>
      </c>
      <c r="Q319" s="1403">
        <v>5720.0000000000009</v>
      </c>
      <c r="R319" s="25"/>
    </row>
    <row r="320" spans="1:18" ht="17.25">
      <c r="A320" s="608">
        <f t="shared" si="47"/>
        <v>34.04999999999999</v>
      </c>
      <c r="B320" s="312" t="s">
        <v>487</v>
      </c>
      <c r="C320" s="52" t="s">
        <v>519</v>
      </c>
      <c r="D320" s="25"/>
      <c r="E320" s="1424"/>
      <c r="F320" s="1424"/>
      <c r="G320" s="1424"/>
      <c r="H320" s="1424">
        <v>6400</v>
      </c>
      <c r="I320" s="1405">
        <v>6400</v>
      </c>
      <c r="J320" s="1405">
        <f t="shared" si="48"/>
        <v>6400</v>
      </c>
      <c r="K320" s="1405">
        <f t="shared" si="48"/>
        <v>6400</v>
      </c>
      <c r="L320" s="1405">
        <f t="shared" si="48"/>
        <v>6400</v>
      </c>
      <c r="M320" s="1405">
        <f t="shared" si="41"/>
        <v>7040.0000000000009</v>
      </c>
      <c r="N320" s="1403">
        <f t="shared" si="49"/>
        <v>7040.0000000000009</v>
      </c>
      <c r="O320" s="1403">
        <f t="shared" si="49"/>
        <v>7040.0000000000009</v>
      </c>
      <c r="P320" s="1403">
        <f t="shared" si="49"/>
        <v>7040.0000000000009</v>
      </c>
      <c r="Q320" s="1403">
        <v>7040.0000000000009</v>
      </c>
      <c r="R320" s="25"/>
    </row>
    <row r="321" spans="1:18" ht="17.25">
      <c r="A321" s="608">
        <f t="shared" si="47"/>
        <v>34.059999999999988</v>
      </c>
      <c r="B321" s="312" t="s">
        <v>656</v>
      </c>
      <c r="C321" s="52" t="s">
        <v>519</v>
      </c>
      <c r="D321" s="25"/>
      <c r="E321" s="1424"/>
      <c r="F321" s="1424"/>
      <c r="G321" s="1424"/>
      <c r="H321" s="1424">
        <v>6800</v>
      </c>
      <c r="I321" s="1405">
        <v>6800</v>
      </c>
      <c r="J321" s="1405">
        <f t="shared" si="48"/>
        <v>6800</v>
      </c>
      <c r="K321" s="1405">
        <f t="shared" si="48"/>
        <v>6800</v>
      </c>
      <c r="L321" s="1405">
        <f t="shared" si="48"/>
        <v>6800</v>
      </c>
      <c r="M321" s="1405">
        <f t="shared" si="41"/>
        <v>7480.0000000000009</v>
      </c>
      <c r="N321" s="1403">
        <f t="shared" si="49"/>
        <v>7480.0000000000009</v>
      </c>
      <c r="O321" s="1403">
        <f t="shared" si="49"/>
        <v>7480.0000000000009</v>
      </c>
      <c r="P321" s="1403">
        <f t="shared" si="49"/>
        <v>7480.0000000000009</v>
      </c>
      <c r="Q321" s="1403">
        <v>7480.0000000000009</v>
      </c>
      <c r="R321" s="25"/>
    </row>
    <row r="322" spans="1:18" ht="17.25">
      <c r="A322" s="608">
        <f t="shared" si="47"/>
        <v>34.069999999999986</v>
      </c>
      <c r="B322" s="312" t="s">
        <v>657</v>
      </c>
      <c r="C322" s="52" t="s">
        <v>519</v>
      </c>
      <c r="D322" s="25"/>
      <c r="E322" s="1424"/>
      <c r="F322" s="1424"/>
      <c r="G322" s="1424"/>
      <c r="H322" s="1424">
        <v>9500</v>
      </c>
      <c r="I322" s="1405">
        <v>9500</v>
      </c>
      <c r="J322" s="1405">
        <f t="shared" si="48"/>
        <v>9500</v>
      </c>
      <c r="K322" s="1405">
        <f t="shared" si="48"/>
        <v>9500</v>
      </c>
      <c r="L322" s="1405">
        <f t="shared" si="48"/>
        <v>9500</v>
      </c>
      <c r="M322" s="1405">
        <f t="shared" si="41"/>
        <v>10450</v>
      </c>
      <c r="N322" s="1403">
        <f t="shared" si="49"/>
        <v>10450</v>
      </c>
      <c r="O322" s="1403">
        <f t="shared" si="49"/>
        <v>10450</v>
      </c>
      <c r="P322" s="1403">
        <f t="shared" si="49"/>
        <v>10450</v>
      </c>
      <c r="Q322" s="1403">
        <v>10450</v>
      </c>
      <c r="R322" s="25"/>
    </row>
    <row r="323" spans="1:18" ht="17.25">
      <c r="A323" s="608">
        <f t="shared" si="47"/>
        <v>34.079999999999984</v>
      </c>
      <c r="B323" s="312" t="s">
        <v>658</v>
      </c>
      <c r="C323" s="52" t="s">
        <v>519</v>
      </c>
      <c r="D323" s="25"/>
      <c r="E323" s="1424"/>
      <c r="F323" s="1424"/>
      <c r="G323" s="1424"/>
      <c r="H323" s="1424">
        <v>10500</v>
      </c>
      <c r="I323" s="1405">
        <v>10500</v>
      </c>
      <c r="J323" s="1405">
        <f t="shared" si="48"/>
        <v>10500</v>
      </c>
      <c r="K323" s="1405">
        <f t="shared" si="48"/>
        <v>10500</v>
      </c>
      <c r="L323" s="1405">
        <f t="shared" si="48"/>
        <v>10500</v>
      </c>
      <c r="M323" s="1405">
        <f t="shared" si="41"/>
        <v>11550.000000000002</v>
      </c>
      <c r="N323" s="1403">
        <f t="shared" si="49"/>
        <v>11550.000000000002</v>
      </c>
      <c r="O323" s="1403">
        <f t="shared" si="49"/>
        <v>11550.000000000002</v>
      </c>
      <c r="P323" s="1403">
        <f t="shared" si="49"/>
        <v>11550.000000000002</v>
      </c>
      <c r="Q323" s="1403">
        <v>11550.000000000002</v>
      </c>
      <c r="R323" s="25"/>
    </row>
    <row r="324" spans="1:18" ht="17.25">
      <c r="A324" s="608">
        <f t="shared" si="47"/>
        <v>34.089999999999982</v>
      </c>
      <c r="B324" s="312" t="s">
        <v>659</v>
      </c>
      <c r="C324" s="52" t="s">
        <v>519</v>
      </c>
      <c r="D324" s="25"/>
      <c r="E324" s="1424"/>
      <c r="F324" s="1424"/>
      <c r="G324" s="1424"/>
      <c r="H324" s="1424">
        <v>14500</v>
      </c>
      <c r="I324" s="1405">
        <v>14500</v>
      </c>
      <c r="J324" s="1405">
        <f t="shared" si="48"/>
        <v>14500</v>
      </c>
      <c r="K324" s="1405">
        <f t="shared" si="48"/>
        <v>14500</v>
      </c>
      <c r="L324" s="1405">
        <f t="shared" si="48"/>
        <v>14500</v>
      </c>
      <c r="M324" s="1405">
        <f t="shared" si="41"/>
        <v>15950.000000000002</v>
      </c>
      <c r="N324" s="1403">
        <f t="shared" si="49"/>
        <v>15950.000000000002</v>
      </c>
      <c r="O324" s="1403">
        <f t="shared" si="49"/>
        <v>15950.000000000002</v>
      </c>
      <c r="P324" s="1403">
        <f t="shared" si="49"/>
        <v>15950.000000000002</v>
      </c>
      <c r="Q324" s="1403">
        <v>15950.000000000002</v>
      </c>
      <c r="R324" s="25"/>
    </row>
    <row r="325" spans="1:18" ht="17.25">
      <c r="A325" s="608">
        <f t="shared" si="47"/>
        <v>34.09999999999998</v>
      </c>
      <c r="B325" s="312" t="s">
        <v>660</v>
      </c>
      <c r="C325" s="52" t="s">
        <v>519</v>
      </c>
      <c r="D325" s="25"/>
      <c r="E325" s="1424"/>
      <c r="F325" s="1424"/>
      <c r="G325" s="1424"/>
      <c r="H325" s="1424">
        <v>19000</v>
      </c>
      <c r="I325" s="1405">
        <v>19000</v>
      </c>
      <c r="J325" s="1405">
        <f t="shared" si="48"/>
        <v>19000</v>
      </c>
      <c r="K325" s="1405">
        <f t="shared" si="48"/>
        <v>19000</v>
      </c>
      <c r="L325" s="1405">
        <f t="shared" si="48"/>
        <v>19000</v>
      </c>
      <c r="M325" s="1405">
        <f t="shared" ref="M325:M388" si="50">L325*1.1</f>
        <v>20900</v>
      </c>
      <c r="N325" s="1403">
        <f t="shared" si="49"/>
        <v>20900</v>
      </c>
      <c r="O325" s="1403">
        <f t="shared" si="49"/>
        <v>20900</v>
      </c>
      <c r="P325" s="1403">
        <f t="shared" si="49"/>
        <v>20900</v>
      </c>
      <c r="Q325" s="1403">
        <v>20900</v>
      </c>
      <c r="R325" s="25"/>
    </row>
    <row r="326" spans="1:18" ht="17.25">
      <c r="A326" s="608">
        <f t="shared" si="47"/>
        <v>34.109999999999978</v>
      </c>
      <c r="B326" s="312" t="s">
        <v>661</v>
      </c>
      <c r="C326" s="52" t="s">
        <v>519</v>
      </c>
      <c r="D326" s="25"/>
      <c r="E326" s="1424"/>
      <c r="F326" s="1424"/>
      <c r="G326" s="1424"/>
      <c r="H326" s="1424">
        <v>22600</v>
      </c>
      <c r="I326" s="1405">
        <v>22600</v>
      </c>
      <c r="J326" s="1405">
        <f t="shared" si="48"/>
        <v>22600</v>
      </c>
      <c r="K326" s="1405">
        <f t="shared" si="48"/>
        <v>22600</v>
      </c>
      <c r="L326" s="1405">
        <f t="shared" si="48"/>
        <v>22600</v>
      </c>
      <c r="M326" s="1405">
        <f t="shared" si="50"/>
        <v>24860.000000000004</v>
      </c>
      <c r="N326" s="1403">
        <f t="shared" si="49"/>
        <v>24860.000000000004</v>
      </c>
      <c r="O326" s="1403">
        <f t="shared" si="49"/>
        <v>24860.000000000004</v>
      </c>
      <c r="P326" s="1403">
        <f t="shared" si="49"/>
        <v>24860.000000000004</v>
      </c>
      <c r="Q326" s="1403">
        <v>24860.000000000004</v>
      </c>
      <c r="R326" s="25"/>
    </row>
    <row r="327" spans="1:18" ht="15.75">
      <c r="A327" s="328">
        <v>35</v>
      </c>
      <c r="B327" s="588" t="s">
        <v>662</v>
      </c>
      <c r="C327" s="591"/>
      <c r="D327" s="330"/>
      <c r="E327" s="1425"/>
      <c r="F327" s="1425"/>
      <c r="G327" s="1425"/>
      <c r="H327" s="1425"/>
      <c r="I327" s="1408"/>
      <c r="J327" s="1408"/>
      <c r="K327" s="1408"/>
      <c r="L327" s="1408"/>
      <c r="M327" s="1408"/>
      <c r="N327" s="1407"/>
      <c r="O327" s="1407"/>
      <c r="P327" s="1407"/>
      <c r="Q327" s="1407"/>
      <c r="R327" s="330"/>
    </row>
    <row r="328" spans="1:18" ht="17.25">
      <c r="A328" s="608">
        <f>A327+0.01</f>
        <v>35.01</v>
      </c>
      <c r="B328" s="312" t="s">
        <v>663</v>
      </c>
      <c r="C328" s="52" t="s">
        <v>519</v>
      </c>
      <c r="D328" s="25"/>
      <c r="E328" s="1424"/>
      <c r="F328" s="1424"/>
      <c r="G328" s="1424"/>
      <c r="H328" s="1424">
        <v>60</v>
      </c>
      <c r="I328" s="1405">
        <v>60</v>
      </c>
      <c r="J328" s="1405">
        <f t="shared" si="48"/>
        <v>60</v>
      </c>
      <c r="K328" s="1405">
        <f t="shared" si="48"/>
        <v>60</v>
      </c>
      <c r="L328" s="1405">
        <f t="shared" si="48"/>
        <v>60</v>
      </c>
      <c r="M328" s="1405">
        <f t="shared" si="50"/>
        <v>66</v>
      </c>
      <c r="N328" s="1403">
        <f t="shared" si="49"/>
        <v>66</v>
      </c>
      <c r="O328" s="1403">
        <f t="shared" si="49"/>
        <v>66</v>
      </c>
      <c r="P328" s="1403">
        <f t="shared" si="49"/>
        <v>66</v>
      </c>
      <c r="Q328" s="1403">
        <v>66</v>
      </c>
      <c r="R328" s="25"/>
    </row>
    <row r="329" spans="1:18" ht="17.25">
      <c r="A329" s="608">
        <f t="shared" ref="A329:A378" si="51">A328+0.01</f>
        <v>35.019999999999996</v>
      </c>
      <c r="B329" s="312" t="s">
        <v>664</v>
      </c>
      <c r="C329" s="52" t="s">
        <v>519</v>
      </c>
      <c r="D329" s="25"/>
      <c r="E329" s="1424"/>
      <c r="F329" s="1424"/>
      <c r="G329" s="1424"/>
      <c r="H329" s="1424">
        <v>66</v>
      </c>
      <c r="I329" s="1405">
        <v>66</v>
      </c>
      <c r="J329" s="1405">
        <f t="shared" si="48"/>
        <v>66</v>
      </c>
      <c r="K329" s="1405">
        <f t="shared" si="48"/>
        <v>66</v>
      </c>
      <c r="L329" s="1405">
        <f t="shared" si="48"/>
        <v>66</v>
      </c>
      <c r="M329" s="1405">
        <f t="shared" si="50"/>
        <v>72.600000000000009</v>
      </c>
      <c r="N329" s="1403">
        <f t="shared" si="49"/>
        <v>72.600000000000009</v>
      </c>
      <c r="O329" s="1403">
        <f t="shared" si="49"/>
        <v>72.600000000000009</v>
      </c>
      <c r="P329" s="1403">
        <f t="shared" si="49"/>
        <v>72.600000000000009</v>
      </c>
      <c r="Q329" s="1403">
        <v>72.600000000000009</v>
      </c>
      <c r="R329" s="25"/>
    </row>
    <row r="330" spans="1:18" ht="17.25">
      <c r="A330" s="608">
        <f t="shared" si="51"/>
        <v>35.029999999999994</v>
      </c>
      <c r="B330" s="312" t="s">
        <v>578</v>
      </c>
      <c r="C330" s="52" t="s">
        <v>519</v>
      </c>
      <c r="D330" s="25"/>
      <c r="E330" s="1424"/>
      <c r="F330" s="1424"/>
      <c r="G330" s="1424"/>
      <c r="H330" s="1424">
        <v>90</v>
      </c>
      <c r="I330" s="1405">
        <v>90</v>
      </c>
      <c r="J330" s="1405">
        <f t="shared" si="48"/>
        <v>90</v>
      </c>
      <c r="K330" s="1405">
        <f t="shared" si="48"/>
        <v>90</v>
      </c>
      <c r="L330" s="1405">
        <f t="shared" si="48"/>
        <v>90</v>
      </c>
      <c r="M330" s="1405">
        <f t="shared" si="50"/>
        <v>99.000000000000014</v>
      </c>
      <c r="N330" s="1403">
        <f t="shared" si="49"/>
        <v>99.000000000000014</v>
      </c>
      <c r="O330" s="1403">
        <f t="shared" si="49"/>
        <v>99.000000000000014</v>
      </c>
      <c r="P330" s="1403">
        <f t="shared" si="49"/>
        <v>99.000000000000014</v>
      </c>
      <c r="Q330" s="1403">
        <v>99.000000000000014</v>
      </c>
      <c r="R330" s="25"/>
    </row>
    <row r="331" spans="1:18" ht="17.25">
      <c r="A331" s="608">
        <f t="shared" si="51"/>
        <v>35.039999999999992</v>
      </c>
      <c r="B331" s="312" t="s">
        <v>579</v>
      </c>
      <c r="C331" s="52" t="s">
        <v>519</v>
      </c>
      <c r="D331" s="25"/>
      <c r="E331" s="1424"/>
      <c r="F331" s="1424"/>
      <c r="G331" s="1424"/>
      <c r="H331" s="1424">
        <v>100</v>
      </c>
      <c r="I331" s="1405">
        <v>100</v>
      </c>
      <c r="J331" s="1405">
        <f t="shared" si="48"/>
        <v>100</v>
      </c>
      <c r="K331" s="1405">
        <f t="shared" si="48"/>
        <v>100</v>
      </c>
      <c r="L331" s="1405">
        <f t="shared" si="48"/>
        <v>100</v>
      </c>
      <c r="M331" s="1405">
        <f t="shared" si="50"/>
        <v>110.00000000000001</v>
      </c>
      <c r="N331" s="1403">
        <f t="shared" si="49"/>
        <v>110.00000000000001</v>
      </c>
      <c r="O331" s="1403">
        <f t="shared" si="49"/>
        <v>110.00000000000001</v>
      </c>
      <c r="P331" s="1403">
        <f t="shared" si="49"/>
        <v>110.00000000000001</v>
      </c>
      <c r="Q331" s="1403">
        <v>110.00000000000001</v>
      </c>
      <c r="R331" s="25"/>
    </row>
    <row r="332" spans="1:18" ht="17.25">
      <c r="A332" s="608">
        <f t="shared" si="51"/>
        <v>35.04999999999999</v>
      </c>
      <c r="B332" s="312" t="s">
        <v>665</v>
      </c>
      <c r="C332" s="52" t="s">
        <v>519</v>
      </c>
      <c r="D332" s="25"/>
      <c r="E332" s="1424"/>
      <c r="F332" s="1424"/>
      <c r="G332" s="1424"/>
      <c r="H332" s="1424">
        <v>90</v>
      </c>
      <c r="I332" s="1405">
        <v>90</v>
      </c>
      <c r="J332" s="1405">
        <f t="shared" si="48"/>
        <v>90</v>
      </c>
      <c r="K332" s="1405">
        <f t="shared" si="48"/>
        <v>90</v>
      </c>
      <c r="L332" s="1405">
        <f t="shared" si="48"/>
        <v>90</v>
      </c>
      <c r="M332" s="1405">
        <f t="shared" si="50"/>
        <v>99.000000000000014</v>
      </c>
      <c r="N332" s="1403">
        <f t="shared" si="49"/>
        <v>99.000000000000014</v>
      </c>
      <c r="O332" s="1403">
        <f t="shared" si="49"/>
        <v>99.000000000000014</v>
      </c>
      <c r="P332" s="1403">
        <f t="shared" si="49"/>
        <v>99.000000000000014</v>
      </c>
      <c r="Q332" s="1403">
        <v>99.000000000000014</v>
      </c>
      <c r="R332" s="25"/>
    </row>
    <row r="333" spans="1:18" ht="17.25">
      <c r="A333" s="608">
        <f t="shared" si="51"/>
        <v>35.059999999999988</v>
      </c>
      <c r="B333" s="312" t="s">
        <v>666</v>
      </c>
      <c r="C333" s="52" t="s">
        <v>519</v>
      </c>
      <c r="D333" s="25"/>
      <c r="E333" s="1424"/>
      <c r="F333" s="1424"/>
      <c r="G333" s="1424"/>
      <c r="H333" s="1424">
        <v>110</v>
      </c>
      <c r="I333" s="1405">
        <v>110</v>
      </c>
      <c r="J333" s="1405">
        <f t="shared" si="48"/>
        <v>110</v>
      </c>
      <c r="K333" s="1405">
        <f t="shared" si="48"/>
        <v>110</v>
      </c>
      <c r="L333" s="1405">
        <f t="shared" si="48"/>
        <v>110</v>
      </c>
      <c r="M333" s="1405">
        <f t="shared" si="50"/>
        <v>121.00000000000001</v>
      </c>
      <c r="N333" s="1403">
        <f t="shared" si="49"/>
        <v>121.00000000000001</v>
      </c>
      <c r="O333" s="1403">
        <f t="shared" si="49"/>
        <v>121.00000000000001</v>
      </c>
      <c r="P333" s="1403">
        <f t="shared" si="49"/>
        <v>121.00000000000001</v>
      </c>
      <c r="Q333" s="1403">
        <v>121.00000000000001</v>
      </c>
      <c r="R333" s="25"/>
    </row>
    <row r="334" spans="1:18" ht="17.25">
      <c r="A334" s="608">
        <f t="shared" si="51"/>
        <v>35.069999999999986</v>
      </c>
      <c r="B334" s="312" t="s">
        <v>580</v>
      </c>
      <c r="C334" s="52" t="s">
        <v>519</v>
      </c>
      <c r="D334" s="25"/>
      <c r="E334" s="1424"/>
      <c r="F334" s="1424"/>
      <c r="G334" s="1424"/>
      <c r="H334" s="1424">
        <v>130</v>
      </c>
      <c r="I334" s="1405">
        <v>130</v>
      </c>
      <c r="J334" s="1405">
        <f t="shared" si="48"/>
        <v>130</v>
      </c>
      <c r="K334" s="1405">
        <f t="shared" si="48"/>
        <v>130</v>
      </c>
      <c r="L334" s="1405">
        <f t="shared" si="48"/>
        <v>130</v>
      </c>
      <c r="M334" s="1405">
        <f t="shared" si="50"/>
        <v>143</v>
      </c>
      <c r="N334" s="1403">
        <f t="shared" si="49"/>
        <v>143</v>
      </c>
      <c r="O334" s="1403">
        <f t="shared" si="49"/>
        <v>143</v>
      </c>
      <c r="P334" s="1403">
        <f t="shared" si="49"/>
        <v>143</v>
      </c>
      <c r="Q334" s="1403">
        <v>143</v>
      </c>
      <c r="R334" s="25"/>
    </row>
    <row r="335" spans="1:18" ht="17.25">
      <c r="A335" s="608">
        <f t="shared" si="51"/>
        <v>35.079999999999984</v>
      </c>
      <c r="B335" s="312" t="s">
        <v>581</v>
      </c>
      <c r="C335" s="52" t="s">
        <v>519</v>
      </c>
      <c r="D335" s="25"/>
      <c r="E335" s="1424"/>
      <c r="F335" s="1424"/>
      <c r="G335" s="1424"/>
      <c r="H335" s="1424">
        <v>130</v>
      </c>
      <c r="I335" s="1405">
        <v>130</v>
      </c>
      <c r="J335" s="1405">
        <f t="shared" si="48"/>
        <v>130</v>
      </c>
      <c r="K335" s="1405">
        <f t="shared" si="48"/>
        <v>130</v>
      </c>
      <c r="L335" s="1405">
        <f t="shared" si="48"/>
        <v>130</v>
      </c>
      <c r="M335" s="1405">
        <f t="shared" si="50"/>
        <v>143</v>
      </c>
      <c r="N335" s="1403">
        <f t="shared" si="49"/>
        <v>143</v>
      </c>
      <c r="O335" s="1403">
        <f t="shared" si="49"/>
        <v>143</v>
      </c>
      <c r="P335" s="1403">
        <f t="shared" si="49"/>
        <v>143</v>
      </c>
      <c r="Q335" s="1403">
        <v>143</v>
      </c>
      <c r="R335" s="25"/>
    </row>
    <row r="336" spans="1:18" ht="17.25">
      <c r="A336" s="608">
        <f t="shared" si="51"/>
        <v>35.089999999999982</v>
      </c>
      <c r="B336" s="312" t="s">
        <v>582</v>
      </c>
      <c r="C336" s="52" t="s">
        <v>519</v>
      </c>
      <c r="D336" s="25"/>
      <c r="E336" s="1424"/>
      <c r="F336" s="1424"/>
      <c r="G336" s="1424"/>
      <c r="H336" s="1424">
        <v>140</v>
      </c>
      <c r="I336" s="1405">
        <v>140</v>
      </c>
      <c r="J336" s="1405">
        <f t="shared" si="48"/>
        <v>140</v>
      </c>
      <c r="K336" s="1405">
        <f t="shared" si="48"/>
        <v>140</v>
      </c>
      <c r="L336" s="1405">
        <f t="shared" si="48"/>
        <v>140</v>
      </c>
      <c r="M336" s="1405">
        <f t="shared" si="50"/>
        <v>154</v>
      </c>
      <c r="N336" s="1403">
        <f t="shared" si="49"/>
        <v>154</v>
      </c>
      <c r="O336" s="1403">
        <f t="shared" si="49"/>
        <v>154</v>
      </c>
      <c r="P336" s="1403">
        <f t="shared" si="49"/>
        <v>154</v>
      </c>
      <c r="Q336" s="1403">
        <v>154</v>
      </c>
      <c r="R336" s="25"/>
    </row>
    <row r="337" spans="1:18" ht="17.25">
      <c r="A337" s="608">
        <f t="shared" si="51"/>
        <v>35.09999999999998</v>
      </c>
      <c r="B337" s="312" t="s">
        <v>583</v>
      </c>
      <c r="C337" s="52" t="s">
        <v>519</v>
      </c>
      <c r="D337" s="25"/>
      <c r="E337" s="1424"/>
      <c r="F337" s="1424"/>
      <c r="G337" s="1424"/>
      <c r="H337" s="1424">
        <v>55</v>
      </c>
      <c r="I337" s="1405">
        <v>55</v>
      </c>
      <c r="J337" s="1405">
        <f t="shared" si="48"/>
        <v>55</v>
      </c>
      <c r="K337" s="1405">
        <f t="shared" si="48"/>
        <v>55</v>
      </c>
      <c r="L337" s="1405">
        <f t="shared" si="48"/>
        <v>55</v>
      </c>
      <c r="M337" s="1405">
        <f t="shared" si="50"/>
        <v>60.500000000000007</v>
      </c>
      <c r="N337" s="1403">
        <f t="shared" si="49"/>
        <v>60.500000000000007</v>
      </c>
      <c r="O337" s="1403">
        <f t="shared" si="49"/>
        <v>60.500000000000007</v>
      </c>
      <c r="P337" s="1403">
        <f t="shared" si="49"/>
        <v>60.500000000000007</v>
      </c>
      <c r="Q337" s="1403">
        <v>60.500000000000007</v>
      </c>
      <c r="R337" s="25"/>
    </row>
    <row r="338" spans="1:18" ht="17.25">
      <c r="A338" s="608">
        <f t="shared" si="51"/>
        <v>35.109999999999978</v>
      </c>
      <c r="B338" s="312" t="s">
        <v>584</v>
      </c>
      <c r="C338" s="52" t="s">
        <v>519</v>
      </c>
      <c r="D338" s="25"/>
      <c r="E338" s="1424"/>
      <c r="F338" s="1424"/>
      <c r="G338" s="1424"/>
      <c r="H338" s="1424">
        <v>130</v>
      </c>
      <c r="I338" s="1405">
        <v>130</v>
      </c>
      <c r="J338" s="1405">
        <f t="shared" si="48"/>
        <v>130</v>
      </c>
      <c r="K338" s="1405">
        <f t="shared" si="48"/>
        <v>130</v>
      </c>
      <c r="L338" s="1405">
        <f t="shared" si="48"/>
        <v>130</v>
      </c>
      <c r="M338" s="1405">
        <f t="shared" si="50"/>
        <v>143</v>
      </c>
      <c r="N338" s="1403">
        <f t="shared" si="49"/>
        <v>143</v>
      </c>
      <c r="O338" s="1403">
        <f t="shared" si="49"/>
        <v>143</v>
      </c>
      <c r="P338" s="1403">
        <f t="shared" si="49"/>
        <v>143</v>
      </c>
      <c r="Q338" s="1403">
        <v>143</v>
      </c>
      <c r="R338" s="25"/>
    </row>
    <row r="339" spans="1:18" ht="17.25">
      <c r="A339" s="608">
        <f t="shared" si="51"/>
        <v>35.119999999999976</v>
      </c>
      <c r="B339" s="312" t="s">
        <v>585</v>
      </c>
      <c r="C339" s="52" t="s">
        <v>519</v>
      </c>
      <c r="D339" s="25"/>
      <c r="E339" s="1424"/>
      <c r="F339" s="1424"/>
      <c r="G339" s="1424"/>
      <c r="H339" s="1424">
        <v>150</v>
      </c>
      <c r="I339" s="1405">
        <v>150</v>
      </c>
      <c r="J339" s="1405">
        <f t="shared" si="48"/>
        <v>150</v>
      </c>
      <c r="K339" s="1405">
        <f t="shared" si="48"/>
        <v>150</v>
      </c>
      <c r="L339" s="1405">
        <f t="shared" si="48"/>
        <v>150</v>
      </c>
      <c r="M339" s="1405">
        <f t="shared" si="50"/>
        <v>165</v>
      </c>
      <c r="N339" s="1403">
        <f t="shared" si="49"/>
        <v>165</v>
      </c>
      <c r="O339" s="1403">
        <f t="shared" si="49"/>
        <v>165</v>
      </c>
      <c r="P339" s="1403">
        <f t="shared" si="49"/>
        <v>165</v>
      </c>
      <c r="Q339" s="1403">
        <v>165</v>
      </c>
      <c r="R339" s="25"/>
    </row>
    <row r="340" spans="1:18" ht="17.25">
      <c r="A340" s="608">
        <f t="shared" si="51"/>
        <v>35.129999999999974</v>
      </c>
      <c r="B340" s="312" t="s">
        <v>586</v>
      </c>
      <c r="C340" s="52" t="s">
        <v>519</v>
      </c>
      <c r="D340" s="25"/>
      <c r="E340" s="1424"/>
      <c r="F340" s="1424"/>
      <c r="G340" s="1424"/>
      <c r="H340" s="1424">
        <v>150</v>
      </c>
      <c r="I340" s="1405">
        <v>150</v>
      </c>
      <c r="J340" s="1405">
        <f t="shared" si="48"/>
        <v>150</v>
      </c>
      <c r="K340" s="1405">
        <f t="shared" si="48"/>
        <v>150</v>
      </c>
      <c r="L340" s="1405">
        <f t="shared" si="48"/>
        <v>150</v>
      </c>
      <c r="M340" s="1405">
        <f t="shared" si="50"/>
        <v>165</v>
      </c>
      <c r="N340" s="1403">
        <f t="shared" si="49"/>
        <v>165</v>
      </c>
      <c r="O340" s="1403">
        <f t="shared" si="49"/>
        <v>165</v>
      </c>
      <c r="P340" s="1403">
        <f t="shared" si="49"/>
        <v>165</v>
      </c>
      <c r="Q340" s="1403">
        <v>165</v>
      </c>
      <c r="R340" s="25"/>
    </row>
    <row r="341" spans="1:18" ht="17.25">
      <c r="A341" s="608">
        <f t="shared" si="51"/>
        <v>35.139999999999972</v>
      </c>
      <c r="B341" s="312" t="s">
        <v>587</v>
      </c>
      <c r="C341" s="52" t="s">
        <v>519</v>
      </c>
      <c r="D341" s="25"/>
      <c r="E341" s="1424"/>
      <c r="F341" s="1424"/>
      <c r="G341" s="1424"/>
      <c r="H341" s="1424">
        <v>170</v>
      </c>
      <c r="I341" s="1405">
        <v>170</v>
      </c>
      <c r="J341" s="1405">
        <f t="shared" si="48"/>
        <v>170</v>
      </c>
      <c r="K341" s="1405">
        <f t="shared" si="48"/>
        <v>170</v>
      </c>
      <c r="L341" s="1405">
        <f t="shared" si="48"/>
        <v>170</v>
      </c>
      <c r="M341" s="1405">
        <f t="shared" si="50"/>
        <v>187.00000000000003</v>
      </c>
      <c r="N341" s="1403">
        <f t="shared" si="49"/>
        <v>187.00000000000003</v>
      </c>
      <c r="O341" s="1403">
        <f t="shared" si="49"/>
        <v>187.00000000000003</v>
      </c>
      <c r="P341" s="1403">
        <f t="shared" si="49"/>
        <v>187.00000000000003</v>
      </c>
      <c r="Q341" s="1403">
        <v>187.00000000000003</v>
      </c>
      <c r="R341" s="25"/>
    </row>
    <row r="342" spans="1:18" ht="17.25">
      <c r="A342" s="608">
        <f t="shared" si="51"/>
        <v>35.14999999999997</v>
      </c>
      <c r="B342" s="312" t="s">
        <v>588</v>
      </c>
      <c r="C342" s="52" t="s">
        <v>519</v>
      </c>
      <c r="D342" s="25"/>
      <c r="E342" s="1424"/>
      <c r="F342" s="1424"/>
      <c r="G342" s="1424"/>
      <c r="H342" s="1424">
        <v>190</v>
      </c>
      <c r="I342" s="1405">
        <v>190</v>
      </c>
      <c r="J342" s="1405">
        <f t="shared" si="48"/>
        <v>190</v>
      </c>
      <c r="K342" s="1405">
        <f t="shared" si="48"/>
        <v>190</v>
      </c>
      <c r="L342" s="1405">
        <f t="shared" si="48"/>
        <v>190</v>
      </c>
      <c r="M342" s="1405">
        <f t="shared" si="50"/>
        <v>209.00000000000003</v>
      </c>
      <c r="N342" s="1403">
        <f t="shared" si="49"/>
        <v>209.00000000000003</v>
      </c>
      <c r="O342" s="1403">
        <f t="shared" si="49"/>
        <v>209.00000000000003</v>
      </c>
      <c r="P342" s="1403">
        <f t="shared" si="49"/>
        <v>209.00000000000003</v>
      </c>
      <c r="Q342" s="1403">
        <v>209.00000000000003</v>
      </c>
      <c r="R342" s="25"/>
    </row>
    <row r="343" spans="1:18" ht="17.25">
      <c r="A343" s="608">
        <f t="shared" si="51"/>
        <v>35.159999999999968</v>
      </c>
      <c r="B343" s="312" t="s">
        <v>589</v>
      </c>
      <c r="C343" s="52" t="s">
        <v>519</v>
      </c>
      <c r="D343" s="25"/>
      <c r="E343" s="1424"/>
      <c r="F343" s="1424"/>
      <c r="G343" s="1424"/>
      <c r="H343" s="1424">
        <v>230</v>
      </c>
      <c r="I343" s="1405">
        <v>230</v>
      </c>
      <c r="J343" s="1405">
        <f t="shared" si="48"/>
        <v>230</v>
      </c>
      <c r="K343" s="1405">
        <f t="shared" si="48"/>
        <v>230</v>
      </c>
      <c r="L343" s="1405">
        <f t="shared" si="48"/>
        <v>230</v>
      </c>
      <c r="M343" s="1405">
        <f t="shared" si="50"/>
        <v>253.00000000000003</v>
      </c>
      <c r="N343" s="1403">
        <f t="shared" si="49"/>
        <v>253.00000000000003</v>
      </c>
      <c r="O343" s="1403">
        <f t="shared" si="49"/>
        <v>253.00000000000003</v>
      </c>
      <c r="P343" s="1403">
        <f t="shared" si="49"/>
        <v>253.00000000000003</v>
      </c>
      <c r="Q343" s="1403">
        <v>253.00000000000003</v>
      </c>
      <c r="R343" s="25"/>
    </row>
    <row r="344" spans="1:18" ht="17.25">
      <c r="A344" s="608">
        <f t="shared" si="51"/>
        <v>35.169999999999966</v>
      </c>
      <c r="B344" s="312" t="s">
        <v>590</v>
      </c>
      <c r="C344" s="52" t="s">
        <v>519</v>
      </c>
      <c r="D344" s="25"/>
      <c r="E344" s="1424"/>
      <c r="F344" s="1424"/>
      <c r="G344" s="1424"/>
      <c r="H344" s="1424">
        <v>250</v>
      </c>
      <c r="I344" s="1405">
        <v>250</v>
      </c>
      <c r="J344" s="1405">
        <f t="shared" si="48"/>
        <v>250</v>
      </c>
      <c r="K344" s="1405">
        <f t="shared" si="48"/>
        <v>250</v>
      </c>
      <c r="L344" s="1405">
        <f t="shared" si="48"/>
        <v>250</v>
      </c>
      <c r="M344" s="1405">
        <f t="shared" si="50"/>
        <v>275</v>
      </c>
      <c r="N344" s="1403">
        <f t="shared" si="49"/>
        <v>275</v>
      </c>
      <c r="O344" s="1403">
        <f t="shared" si="49"/>
        <v>275</v>
      </c>
      <c r="P344" s="1403">
        <f t="shared" si="49"/>
        <v>275</v>
      </c>
      <c r="Q344" s="1403">
        <v>275</v>
      </c>
      <c r="R344" s="25"/>
    </row>
    <row r="345" spans="1:18" ht="17.25">
      <c r="A345" s="608">
        <f t="shared" si="51"/>
        <v>35.179999999999964</v>
      </c>
      <c r="B345" s="312" t="s">
        <v>591</v>
      </c>
      <c r="C345" s="52" t="s">
        <v>519</v>
      </c>
      <c r="D345" s="25"/>
      <c r="E345" s="1424"/>
      <c r="F345" s="1424"/>
      <c r="G345" s="1424"/>
      <c r="H345" s="1424"/>
      <c r="I345" s="1405"/>
      <c r="J345" s="1405"/>
      <c r="K345" s="1405"/>
      <c r="L345" s="1405"/>
      <c r="M345" s="1405"/>
      <c r="N345" s="1403"/>
      <c r="O345" s="1403"/>
      <c r="P345" s="1403">
        <f t="shared" si="49"/>
        <v>0</v>
      </c>
      <c r="Q345" s="1403">
        <v>0</v>
      </c>
      <c r="R345" s="25"/>
    </row>
    <row r="346" spans="1:18" ht="17.25">
      <c r="A346" s="608">
        <f t="shared" si="51"/>
        <v>35.189999999999962</v>
      </c>
      <c r="B346" s="312" t="s">
        <v>595</v>
      </c>
      <c r="C346" s="52" t="s">
        <v>519</v>
      </c>
      <c r="D346" s="25"/>
      <c r="E346" s="1424"/>
      <c r="F346" s="1424"/>
      <c r="G346" s="1424"/>
      <c r="H346" s="1424">
        <v>310</v>
      </c>
      <c r="I346" s="1405">
        <v>310</v>
      </c>
      <c r="J346" s="1405">
        <f t="shared" si="48"/>
        <v>310</v>
      </c>
      <c r="K346" s="1405">
        <f t="shared" si="48"/>
        <v>310</v>
      </c>
      <c r="L346" s="1405">
        <f t="shared" si="48"/>
        <v>310</v>
      </c>
      <c r="M346" s="1405">
        <f t="shared" si="50"/>
        <v>341</v>
      </c>
      <c r="N346" s="1403">
        <f t="shared" si="49"/>
        <v>341</v>
      </c>
      <c r="O346" s="1403">
        <f t="shared" si="49"/>
        <v>341</v>
      </c>
      <c r="P346" s="1403">
        <f t="shared" si="49"/>
        <v>341</v>
      </c>
      <c r="Q346" s="1403">
        <v>341</v>
      </c>
      <c r="R346" s="25"/>
    </row>
    <row r="347" spans="1:18" ht="17.25">
      <c r="A347" s="608">
        <f t="shared" si="51"/>
        <v>35.19999999999996</v>
      </c>
      <c r="B347" s="312" t="s">
        <v>596</v>
      </c>
      <c r="C347" s="52" t="s">
        <v>519</v>
      </c>
      <c r="D347" s="25"/>
      <c r="E347" s="1424"/>
      <c r="F347" s="1424"/>
      <c r="G347" s="1424"/>
      <c r="H347" s="1424">
        <v>350</v>
      </c>
      <c r="I347" s="1405">
        <v>350</v>
      </c>
      <c r="J347" s="1405">
        <f t="shared" si="48"/>
        <v>350</v>
      </c>
      <c r="K347" s="1405">
        <f t="shared" si="48"/>
        <v>350</v>
      </c>
      <c r="L347" s="1405">
        <f t="shared" si="48"/>
        <v>350</v>
      </c>
      <c r="M347" s="1405">
        <f t="shared" si="50"/>
        <v>385.00000000000006</v>
      </c>
      <c r="N347" s="1403">
        <f t="shared" si="49"/>
        <v>385.00000000000006</v>
      </c>
      <c r="O347" s="1403">
        <f t="shared" si="49"/>
        <v>385.00000000000006</v>
      </c>
      <c r="P347" s="1403">
        <f t="shared" si="49"/>
        <v>385.00000000000006</v>
      </c>
      <c r="Q347" s="1403">
        <v>385.00000000000006</v>
      </c>
      <c r="R347" s="25"/>
    </row>
    <row r="348" spans="1:18" ht="17.25">
      <c r="A348" s="608">
        <f t="shared" si="51"/>
        <v>35.209999999999958</v>
      </c>
      <c r="B348" s="312" t="s">
        <v>597</v>
      </c>
      <c r="C348" s="52" t="s">
        <v>519</v>
      </c>
      <c r="D348" s="25"/>
      <c r="E348" s="1424"/>
      <c r="F348" s="1424"/>
      <c r="G348" s="1424"/>
      <c r="H348" s="1424">
        <v>450</v>
      </c>
      <c r="I348" s="1405">
        <v>450</v>
      </c>
      <c r="J348" s="1405">
        <f t="shared" si="48"/>
        <v>450</v>
      </c>
      <c r="K348" s="1405">
        <f t="shared" si="48"/>
        <v>450</v>
      </c>
      <c r="L348" s="1405">
        <f t="shared" si="48"/>
        <v>450</v>
      </c>
      <c r="M348" s="1405">
        <f t="shared" si="50"/>
        <v>495.00000000000006</v>
      </c>
      <c r="N348" s="1403">
        <f t="shared" si="49"/>
        <v>495.00000000000006</v>
      </c>
      <c r="O348" s="1403">
        <f t="shared" si="49"/>
        <v>495.00000000000006</v>
      </c>
      <c r="P348" s="1403">
        <f t="shared" si="49"/>
        <v>495.00000000000006</v>
      </c>
      <c r="Q348" s="1403">
        <v>495.00000000000006</v>
      </c>
      <c r="R348" s="25"/>
    </row>
    <row r="349" spans="1:18" ht="17.25">
      <c r="A349" s="608">
        <f t="shared" si="51"/>
        <v>35.219999999999956</v>
      </c>
      <c r="B349" s="312" t="s">
        <v>602</v>
      </c>
      <c r="C349" s="52" t="s">
        <v>519</v>
      </c>
      <c r="D349" s="25"/>
      <c r="E349" s="1424"/>
      <c r="F349" s="1424"/>
      <c r="G349" s="1424"/>
      <c r="H349" s="1424">
        <v>530</v>
      </c>
      <c r="I349" s="1405">
        <v>530</v>
      </c>
      <c r="J349" s="1405">
        <f t="shared" si="48"/>
        <v>530</v>
      </c>
      <c r="K349" s="1405">
        <f t="shared" si="48"/>
        <v>530</v>
      </c>
      <c r="L349" s="1405">
        <f t="shared" si="48"/>
        <v>530</v>
      </c>
      <c r="M349" s="1405">
        <f t="shared" si="50"/>
        <v>583</v>
      </c>
      <c r="N349" s="1403">
        <f t="shared" si="49"/>
        <v>583</v>
      </c>
      <c r="O349" s="1403">
        <f t="shared" si="49"/>
        <v>583</v>
      </c>
      <c r="P349" s="1403">
        <f t="shared" si="49"/>
        <v>583</v>
      </c>
      <c r="Q349" s="1403">
        <v>583</v>
      </c>
      <c r="R349" s="25"/>
    </row>
    <row r="350" spans="1:18" ht="17.25">
      <c r="A350" s="608">
        <f t="shared" si="51"/>
        <v>35.229999999999954</v>
      </c>
      <c r="B350" s="312" t="s">
        <v>603</v>
      </c>
      <c r="C350" s="52" t="s">
        <v>519</v>
      </c>
      <c r="D350" s="25"/>
      <c r="E350" s="1424"/>
      <c r="F350" s="1424"/>
      <c r="G350" s="1424"/>
      <c r="H350" s="1424">
        <v>610</v>
      </c>
      <c r="I350" s="1405">
        <v>610</v>
      </c>
      <c r="J350" s="1405">
        <f t="shared" si="48"/>
        <v>610</v>
      </c>
      <c r="K350" s="1405">
        <f t="shared" si="48"/>
        <v>610</v>
      </c>
      <c r="L350" s="1405">
        <f t="shared" si="48"/>
        <v>610</v>
      </c>
      <c r="M350" s="1405">
        <f t="shared" si="50"/>
        <v>671</v>
      </c>
      <c r="N350" s="1403">
        <f t="shared" si="49"/>
        <v>671</v>
      </c>
      <c r="O350" s="1403">
        <f t="shared" si="49"/>
        <v>671</v>
      </c>
      <c r="P350" s="1403">
        <f t="shared" si="49"/>
        <v>671</v>
      </c>
      <c r="Q350" s="1403">
        <v>671</v>
      </c>
      <c r="R350" s="25"/>
    </row>
    <row r="351" spans="1:18" ht="17.25">
      <c r="A351" s="608">
        <f t="shared" si="51"/>
        <v>35.239999999999952</v>
      </c>
      <c r="B351" s="312" t="s">
        <v>604</v>
      </c>
      <c r="C351" s="52" t="s">
        <v>519</v>
      </c>
      <c r="D351" s="25"/>
      <c r="E351" s="1424"/>
      <c r="F351" s="1424"/>
      <c r="G351" s="1424"/>
      <c r="H351" s="1424">
        <v>720</v>
      </c>
      <c r="I351" s="1405">
        <v>720</v>
      </c>
      <c r="J351" s="1405">
        <f t="shared" si="48"/>
        <v>720</v>
      </c>
      <c r="K351" s="1405">
        <f t="shared" si="48"/>
        <v>720</v>
      </c>
      <c r="L351" s="1405">
        <f t="shared" si="48"/>
        <v>720</v>
      </c>
      <c r="M351" s="1405">
        <f t="shared" si="50"/>
        <v>792.00000000000011</v>
      </c>
      <c r="N351" s="1403">
        <f t="shared" si="49"/>
        <v>792.00000000000011</v>
      </c>
      <c r="O351" s="1403">
        <f t="shared" si="49"/>
        <v>792.00000000000011</v>
      </c>
      <c r="P351" s="1403">
        <f t="shared" si="49"/>
        <v>792.00000000000011</v>
      </c>
      <c r="Q351" s="1403">
        <v>792.00000000000011</v>
      </c>
      <c r="R351" s="25"/>
    </row>
    <row r="352" spans="1:18" ht="17.25">
      <c r="A352" s="608">
        <f t="shared" si="51"/>
        <v>35.24999999999995</v>
      </c>
      <c r="B352" s="312" t="s">
        <v>608</v>
      </c>
      <c r="C352" s="52" t="s">
        <v>519</v>
      </c>
      <c r="D352" s="25"/>
      <c r="E352" s="1424"/>
      <c r="F352" s="1424"/>
      <c r="G352" s="1424"/>
      <c r="H352" s="1424">
        <v>610</v>
      </c>
      <c r="I352" s="1405">
        <v>610</v>
      </c>
      <c r="J352" s="1405">
        <f t="shared" si="48"/>
        <v>610</v>
      </c>
      <c r="K352" s="1405">
        <f t="shared" si="48"/>
        <v>610</v>
      </c>
      <c r="L352" s="1405">
        <f t="shared" si="48"/>
        <v>610</v>
      </c>
      <c r="M352" s="1405">
        <f t="shared" si="50"/>
        <v>671</v>
      </c>
      <c r="N352" s="1403">
        <f t="shared" si="49"/>
        <v>671</v>
      </c>
      <c r="O352" s="1403">
        <f t="shared" si="49"/>
        <v>671</v>
      </c>
      <c r="P352" s="1403">
        <f t="shared" si="49"/>
        <v>671</v>
      </c>
      <c r="Q352" s="1403">
        <v>671</v>
      </c>
      <c r="R352" s="25"/>
    </row>
    <row r="353" spans="1:18" ht="17.25">
      <c r="A353" s="608">
        <f t="shared" si="51"/>
        <v>35.259999999999948</v>
      </c>
      <c r="B353" s="312" t="s">
        <v>609</v>
      </c>
      <c r="C353" s="52" t="s">
        <v>519</v>
      </c>
      <c r="D353" s="25"/>
      <c r="E353" s="1424"/>
      <c r="F353" s="1424"/>
      <c r="G353" s="1424"/>
      <c r="H353" s="1424">
        <v>690</v>
      </c>
      <c r="I353" s="1405">
        <v>690</v>
      </c>
      <c r="J353" s="1405">
        <f t="shared" si="48"/>
        <v>690</v>
      </c>
      <c r="K353" s="1405">
        <f t="shared" si="48"/>
        <v>690</v>
      </c>
      <c r="L353" s="1405">
        <f t="shared" si="48"/>
        <v>690</v>
      </c>
      <c r="M353" s="1405">
        <f t="shared" si="50"/>
        <v>759.00000000000011</v>
      </c>
      <c r="N353" s="1403">
        <f t="shared" si="49"/>
        <v>759.00000000000011</v>
      </c>
      <c r="O353" s="1403">
        <f t="shared" si="49"/>
        <v>759.00000000000011</v>
      </c>
      <c r="P353" s="1403">
        <f t="shared" si="49"/>
        <v>759.00000000000011</v>
      </c>
      <c r="Q353" s="1403">
        <v>759.00000000000011</v>
      </c>
      <c r="R353" s="25"/>
    </row>
    <row r="354" spans="1:18" ht="17.25">
      <c r="A354" s="608">
        <f t="shared" si="51"/>
        <v>35.269999999999946</v>
      </c>
      <c r="B354" s="312" t="s">
        <v>610</v>
      </c>
      <c r="C354" s="52" t="s">
        <v>519</v>
      </c>
      <c r="D354" s="25"/>
      <c r="E354" s="1424"/>
      <c r="F354" s="1424"/>
      <c r="G354" s="1424"/>
      <c r="H354" s="1424">
        <v>730</v>
      </c>
      <c r="I354" s="1405">
        <v>730</v>
      </c>
      <c r="J354" s="1405">
        <f t="shared" si="48"/>
        <v>730</v>
      </c>
      <c r="K354" s="1405">
        <f t="shared" si="48"/>
        <v>730</v>
      </c>
      <c r="L354" s="1405">
        <f t="shared" si="48"/>
        <v>730</v>
      </c>
      <c r="M354" s="1405">
        <f t="shared" si="50"/>
        <v>803.00000000000011</v>
      </c>
      <c r="N354" s="1403">
        <f t="shared" si="49"/>
        <v>803.00000000000011</v>
      </c>
      <c r="O354" s="1403">
        <f t="shared" si="49"/>
        <v>803.00000000000011</v>
      </c>
      <c r="P354" s="1403">
        <f t="shared" si="49"/>
        <v>803.00000000000011</v>
      </c>
      <c r="Q354" s="1403">
        <v>803.00000000000011</v>
      </c>
      <c r="R354" s="25"/>
    </row>
    <row r="355" spans="1:18" ht="17.25">
      <c r="A355" s="608">
        <f t="shared" si="51"/>
        <v>35.279999999999944</v>
      </c>
      <c r="B355" s="312" t="s">
        <v>611</v>
      </c>
      <c r="C355" s="52" t="s">
        <v>519</v>
      </c>
      <c r="D355" s="25"/>
      <c r="E355" s="1424"/>
      <c r="F355" s="1424"/>
      <c r="G355" s="1424"/>
      <c r="H355" s="1424">
        <v>830</v>
      </c>
      <c r="I355" s="1405">
        <v>830</v>
      </c>
      <c r="J355" s="1405">
        <f t="shared" si="48"/>
        <v>830</v>
      </c>
      <c r="K355" s="1405">
        <f t="shared" si="48"/>
        <v>830</v>
      </c>
      <c r="L355" s="1405">
        <f t="shared" si="48"/>
        <v>830</v>
      </c>
      <c r="M355" s="1405">
        <f t="shared" si="50"/>
        <v>913.00000000000011</v>
      </c>
      <c r="N355" s="1403">
        <f t="shared" si="49"/>
        <v>913.00000000000011</v>
      </c>
      <c r="O355" s="1403">
        <f t="shared" si="49"/>
        <v>913.00000000000011</v>
      </c>
      <c r="P355" s="1403">
        <f t="shared" si="49"/>
        <v>913.00000000000011</v>
      </c>
      <c r="Q355" s="1403">
        <v>913.00000000000011</v>
      </c>
      <c r="R355" s="25"/>
    </row>
    <row r="356" spans="1:18" ht="17.25">
      <c r="A356" s="608">
        <f t="shared" si="51"/>
        <v>35.289999999999942</v>
      </c>
      <c r="B356" s="312" t="s">
        <v>667</v>
      </c>
      <c r="C356" s="52" t="s">
        <v>519</v>
      </c>
      <c r="D356" s="25"/>
      <c r="E356" s="1424"/>
      <c r="F356" s="1424"/>
      <c r="G356" s="1424"/>
      <c r="H356" s="1424">
        <v>870</v>
      </c>
      <c r="I356" s="1405">
        <v>870</v>
      </c>
      <c r="J356" s="1405">
        <f t="shared" si="48"/>
        <v>870</v>
      </c>
      <c r="K356" s="1405">
        <f t="shared" si="48"/>
        <v>870</v>
      </c>
      <c r="L356" s="1405">
        <f t="shared" si="48"/>
        <v>870</v>
      </c>
      <c r="M356" s="1405">
        <f t="shared" si="50"/>
        <v>957.00000000000011</v>
      </c>
      <c r="N356" s="1403">
        <f t="shared" si="49"/>
        <v>957.00000000000011</v>
      </c>
      <c r="O356" s="1403">
        <f t="shared" si="49"/>
        <v>957.00000000000011</v>
      </c>
      <c r="P356" s="1403">
        <f t="shared" si="49"/>
        <v>957.00000000000011</v>
      </c>
      <c r="Q356" s="1403">
        <v>957.00000000000011</v>
      </c>
      <c r="R356" s="25"/>
    </row>
    <row r="357" spans="1:18" ht="17.25">
      <c r="A357" s="608">
        <f t="shared" si="51"/>
        <v>35.29999999999994</v>
      </c>
      <c r="B357" s="312" t="s">
        <v>616</v>
      </c>
      <c r="C357" s="52" t="s">
        <v>519</v>
      </c>
      <c r="D357" s="25"/>
      <c r="E357" s="1424"/>
      <c r="F357" s="1424"/>
      <c r="G357" s="1424"/>
      <c r="H357" s="1424">
        <v>790</v>
      </c>
      <c r="I357" s="1405">
        <v>790</v>
      </c>
      <c r="J357" s="1405">
        <f t="shared" si="48"/>
        <v>790</v>
      </c>
      <c r="K357" s="1405">
        <f t="shared" si="48"/>
        <v>790</v>
      </c>
      <c r="L357" s="1405">
        <f t="shared" si="48"/>
        <v>790</v>
      </c>
      <c r="M357" s="1405">
        <f t="shared" si="50"/>
        <v>869.00000000000011</v>
      </c>
      <c r="N357" s="1403">
        <f t="shared" si="49"/>
        <v>869.00000000000011</v>
      </c>
      <c r="O357" s="1403">
        <f t="shared" si="49"/>
        <v>869.00000000000011</v>
      </c>
      <c r="P357" s="1403">
        <f t="shared" si="49"/>
        <v>869.00000000000011</v>
      </c>
      <c r="Q357" s="1403">
        <v>869.00000000000011</v>
      </c>
      <c r="R357" s="25"/>
    </row>
    <row r="358" spans="1:18" ht="17.25">
      <c r="A358" s="608">
        <f t="shared" si="51"/>
        <v>35.309999999999938</v>
      </c>
      <c r="B358" s="312" t="s">
        <v>617</v>
      </c>
      <c r="C358" s="52" t="s">
        <v>519</v>
      </c>
      <c r="D358" s="25"/>
      <c r="E358" s="1424"/>
      <c r="F358" s="1424"/>
      <c r="G358" s="1424"/>
      <c r="H358" s="1424">
        <v>840</v>
      </c>
      <c r="I358" s="1405">
        <v>840</v>
      </c>
      <c r="J358" s="1405">
        <f t="shared" si="48"/>
        <v>840</v>
      </c>
      <c r="K358" s="1405">
        <f t="shared" si="48"/>
        <v>840</v>
      </c>
      <c r="L358" s="1405">
        <f t="shared" si="48"/>
        <v>840</v>
      </c>
      <c r="M358" s="1405">
        <f t="shared" si="50"/>
        <v>924.00000000000011</v>
      </c>
      <c r="N358" s="1403">
        <f t="shared" si="49"/>
        <v>924.00000000000011</v>
      </c>
      <c r="O358" s="1403">
        <f t="shared" si="49"/>
        <v>924.00000000000011</v>
      </c>
      <c r="P358" s="1403">
        <f t="shared" si="49"/>
        <v>924.00000000000011</v>
      </c>
      <c r="Q358" s="1403">
        <v>924.00000000000011</v>
      </c>
      <c r="R358" s="25"/>
    </row>
    <row r="359" spans="1:18" ht="17.25">
      <c r="A359" s="608">
        <f t="shared" si="51"/>
        <v>35.319999999999936</v>
      </c>
      <c r="B359" s="312" t="s">
        <v>618</v>
      </c>
      <c r="C359" s="52" t="s">
        <v>519</v>
      </c>
      <c r="D359" s="25"/>
      <c r="E359" s="1424"/>
      <c r="F359" s="1424"/>
      <c r="G359" s="1424"/>
      <c r="H359" s="1424">
        <v>565</v>
      </c>
      <c r="I359" s="1405">
        <v>565</v>
      </c>
      <c r="J359" s="1405">
        <f t="shared" si="48"/>
        <v>565</v>
      </c>
      <c r="K359" s="1405">
        <f t="shared" si="48"/>
        <v>565</v>
      </c>
      <c r="L359" s="1405">
        <f t="shared" si="48"/>
        <v>565</v>
      </c>
      <c r="M359" s="1405">
        <f t="shared" si="50"/>
        <v>621.5</v>
      </c>
      <c r="N359" s="1403">
        <f t="shared" si="49"/>
        <v>621.5</v>
      </c>
      <c r="O359" s="1403">
        <f t="shared" si="49"/>
        <v>621.5</v>
      </c>
      <c r="P359" s="1403">
        <f t="shared" si="49"/>
        <v>621.5</v>
      </c>
      <c r="Q359" s="1403">
        <v>621.5</v>
      </c>
      <c r="R359" s="25"/>
    </row>
    <row r="360" spans="1:18" ht="17.25">
      <c r="A360" s="608">
        <f t="shared" si="51"/>
        <v>35.329999999999934</v>
      </c>
      <c r="B360" s="312" t="s">
        <v>668</v>
      </c>
      <c r="C360" s="52" t="s">
        <v>519</v>
      </c>
      <c r="D360" s="25"/>
      <c r="E360" s="1424"/>
      <c r="F360" s="1424"/>
      <c r="G360" s="1424"/>
      <c r="H360" s="1424">
        <v>1150</v>
      </c>
      <c r="I360" s="1405">
        <v>1150</v>
      </c>
      <c r="J360" s="1405">
        <f t="shared" si="48"/>
        <v>1150</v>
      </c>
      <c r="K360" s="1405">
        <f t="shared" si="48"/>
        <v>1150</v>
      </c>
      <c r="L360" s="1405">
        <f t="shared" si="48"/>
        <v>1150</v>
      </c>
      <c r="M360" s="1405">
        <f t="shared" si="50"/>
        <v>1265</v>
      </c>
      <c r="N360" s="1403">
        <f t="shared" si="49"/>
        <v>1265</v>
      </c>
      <c r="O360" s="1403">
        <f t="shared" si="49"/>
        <v>1265</v>
      </c>
      <c r="P360" s="1403">
        <f t="shared" si="49"/>
        <v>1265</v>
      </c>
      <c r="Q360" s="1403">
        <v>1265</v>
      </c>
      <c r="R360" s="25"/>
    </row>
    <row r="361" spans="1:18" ht="17.25">
      <c r="A361" s="608">
        <f t="shared" si="51"/>
        <v>35.339999999999932</v>
      </c>
      <c r="B361" s="312" t="s">
        <v>669</v>
      </c>
      <c r="C361" s="52" t="s">
        <v>519</v>
      </c>
      <c r="D361" s="25"/>
      <c r="E361" s="1424"/>
      <c r="F361" s="1424"/>
      <c r="G361" s="1424"/>
      <c r="H361" s="1424">
        <v>1170</v>
      </c>
      <c r="I361" s="1405">
        <v>1170</v>
      </c>
      <c r="J361" s="1405">
        <f t="shared" si="48"/>
        <v>1170</v>
      </c>
      <c r="K361" s="1405">
        <f t="shared" si="48"/>
        <v>1170</v>
      </c>
      <c r="L361" s="1405">
        <f t="shared" si="48"/>
        <v>1170</v>
      </c>
      <c r="M361" s="1405">
        <f t="shared" si="50"/>
        <v>1287</v>
      </c>
      <c r="N361" s="1403">
        <f t="shared" si="49"/>
        <v>1287</v>
      </c>
      <c r="O361" s="1403">
        <f t="shared" si="49"/>
        <v>1287</v>
      </c>
      <c r="P361" s="1403">
        <f t="shared" si="49"/>
        <v>1287</v>
      </c>
      <c r="Q361" s="1403">
        <v>1287</v>
      </c>
      <c r="R361" s="25"/>
    </row>
    <row r="362" spans="1:18" ht="17.25">
      <c r="A362" s="608">
        <f t="shared" si="51"/>
        <v>35.34999999999993</v>
      </c>
      <c r="B362" s="312" t="s">
        <v>624</v>
      </c>
      <c r="C362" s="52" t="s">
        <v>519</v>
      </c>
      <c r="D362" s="25"/>
      <c r="E362" s="1424"/>
      <c r="F362" s="1424"/>
      <c r="G362" s="1424"/>
      <c r="H362" s="1424">
        <v>1000</v>
      </c>
      <c r="I362" s="1405">
        <v>1000</v>
      </c>
      <c r="J362" s="1405">
        <f t="shared" si="48"/>
        <v>1000</v>
      </c>
      <c r="K362" s="1405">
        <f t="shared" si="48"/>
        <v>1000</v>
      </c>
      <c r="L362" s="1405">
        <f t="shared" si="48"/>
        <v>1000</v>
      </c>
      <c r="M362" s="1405">
        <f t="shared" si="50"/>
        <v>1100</v>
      </c>
      <c r="N362" s="1403">
        <f t="shared" si="49"/>
        <v>1100</v>
      </c>
      <c r="O362" s="1403">
        <f t="shared" si="49"/>
        <v>1100</v>
      </c>
      <c r="P362" s="1403">
        <f t="shared" si="49"/>
        <v>1100</v>
      </c>
      <c r="Q362" s="1403">
        <v>1100</v>
      </c>
      <c r="R362" s="25"/>
    </row>
    <row r="363" spans="1:18" ht="17.25">
      <c r="A363" s="608">
        <f t="shared" si="51"/>
        <v>35.359999999999928</v>
      </c>
      <c r="B363" s="312" t="s">
        <v>625</v>
      </c>
      <c r="C363" s="52" t="s">
        <v>519</v>
      </c>
      <c r="D363" s="25"/>
      <c r="E363" s="1424"/>
      <c r="F363" s="1424"/>
      <c r="G363" s="1424"/>
      <c r="H363" s="1424">
        <v>1190</v>
      </c>
      <c r="I363" s="1405">
        <v>1190</v>
      </c>
      <c r="J363" s="1405">
        <f t="shared" si="48"/>
        <v>1190</v>
      </c>
      <c r="K363" s="1405">
        <f t="shared" si="48"/>
        <v>1190</v>
      </c>
      <c r="L363" s="1405">
        <f t="shared" si="48"/>
        <v>1190</v>
      </c>
      <c r="M363" s="1405">
        <f t="shared" si="50"/>
        <v>1309</v>
      </c>
      <c r="N363" s="1403">
        <f t="shared" si="49"/>
        <v>1309</v>
      </c>
      <c r="O363" s="1403">
        <f t="shared" si="49"/>
        <v>1309</v>
      </c>
      <c r="P363" s="1403">
        <f t="shared" si="49"/>
        <v>1309</v>
      </c>
      <c r="Q363" s="1403">
        <v>1309</v>
      </c>
      <c r="R363" s="25"/>
    </row>
    <row r="364" spans="1:18" ht="17.25">
      <c r="A364" s="608">
        <f t="shared" si="51"/>
        <v>35.369999999999926</v>
      </c>
      <c r="B364" s="312" t="s">
        <v>670</v>
      </c>
      <c r="C364" s="52" t="s">
        <v>519</v>
      </c>
      <c r="D364" s="25"/>
      <c r="E364" s="1424"/>
      <c r="F364" s="1424"/>
      <c r="G364" s="1424"/>
      <c r="H364" s="1424">
        <v>1290</v>
      </c>
      <c r="I364" s="1405">
        <v>1290</v>
      </c>
      <c r="J364" s="1405">
        <f t="shared" si="48"/>
        <v>1290</v>
      </c>
      <c r="K364" s="1405">
        <f t="shared" si="48"/>
        <v>1290</v>
      </c>
      <c r="L364" s="1405">
        <f t="shared" si="48"/>
        <v>1290</v>
      </c>
      <c r="M364" s="1405">
        <f t="shared" si="50"/>
        <v>1419.0000000000002</v>
      </c>
      <c r="N364" s="1403">
        <f t="shared" si="49"/>
        <v>1419.0000000000002</v>
      </c>
      <c r="O364" s="1403">
        <f t="shared" si="49"/>
        <v>1419.0000000000002</v>
      </c>
      <c r="P364" s="1403">
        <f t="shared" si="49"/>
        <v>1419.0000000000002</v>
      </c>
      <c r="Q364" s="1403">
        <v>1419.0000000000002</v>
      </c>
      <c r="R364" s="25"/>
    </row>
    <row r="365" spans="1:18" ht="17.25">
      <c r="A365" s="608">
        <f t="shared" si="51"/>
        <v>35.379999999999924</v>
      </c>
      <c r="B365" s="312" t="s">
        <v>671</v>
      </c>
      <c r="C365" s="52" t="s">
        <v>519</v>
      </c>
      <c r="D365" s="25"/>
      <c r="E365" s="1424"/>
      <c r="F365" s="1424"/>
      <c r="G365" s="1424"/>
      <c r="H365" s="1424">
        <v>1320</v>
      </c>
      <c r="I365" s="1405">
        <v>1320</v>
      </c>
      <c r="J365" s="1405">
        <f t="shared" si="48"/>
        <v>1320</v>
      </c>
      <c r="K365" s="1405">
        <f t="shared" si="48"/>
        <v>1320</v>
      </c>
      <c r="L365" s="1405">
        <f t="shared" si="48"/>
        <v>1320</v>
      </c>
      <c r="M365" s="1405">
        <f t="shared" si="50"/>
        <v>1452.0000000000002</v>
      </c>
      <c r="N365" s="1403">
        <f t="shared" si="49"/>
        <v>1452.0000000000002</v>
      </c>
      <c r="O365" s="1403">
        <f t="shared" si="49"/>
        <v>1452.0000000000002</v>
      </c>
      <c r="P365" s="1403">
        <f t="shared" si="49"/>
        <v>1452.0000000000002</v>
      </c>
      <c r="Q365" s="1403">
        <v>1452.0000000000002</v>
      </c>
      <c r="R365" s="25"/>
    </row>
    <row r="366" spans="1:18" ht="17.25">
      <c r="A366" s="608">
        <f t="shared" si="51"/>
        <v>35.389999999999922</v>
      </c>
      <c r="B366" s="312" t="s">
        <v>672</v>
      </c>
      <c r="C366" s="52" t="s">
        <v>519</v>
      </c>
      <c r="D366" s="25"/>
      <c r="E366" s="1424"/>
      <c r="F366" s="1424"/>
      <c r="G366" s="1424"/>
      <c r="H366" s="1424">
        <v>1450</v>
      </c>
      <c r="I366" s="1405">
        <v>1450</v>
      </c>
      <c r="J366" s="1405">
        <f t="shared" si="48"/>
        <v>1450</v>
      </c>
      <c r="K366" s="1405">
        <f t="shared" si="48"/>
        <v>1450</v>
      </c>
      <c r="L366" s="1405">
        <f t="shared" si="48"/>
        <v>1450</v>
      </c>
      <c r="M366" s="1405">
        <f t="shared" si="50"/>
        <v>1595.0000000000002</v>
      </c>
      <c r="N366" s="1403">
        <f t="shared" si="49"/>
        <v>1595.0000000000002</v>
      </c>
      <c r="O366" s="1403">
        <f t="shared" si="49"/>
        <v>1595.0000000000002</v>
      </c>
      <c r="P366" s="1403">
        <f t="shared" si="49"/>
        <v>1595.0000000000002</v>
      </c>
      <c r="Q366" s="1403">
        <v>1595.0000000000002</v>
      </c>
      <c r="R366" s="25"/>
    </row>
    <row r="367" spans="1:18" ht="17.25">
      <c r="A367" s="608">
        <f t="shared" si="51"/>
        <v>35.39999999999992</v>
      </c>
      <c r="B367" s="312" t="s">
        <v>631</v>
      </c>
      <c r="C367" s="52" t="s">
        <v>519</v>
      </c>
      <c r="D367" s="25"/>
      <c r="E367" s="1424"/>
      <c r="F367" s="1424"/>
      <c r="G367" s="1424"/>
      <c r="H367" s="1424">
        <v>1740</v>
      </c>
      <c r="I367" s="1405">
        <v>1740</v>
      </c>
      <c r="J367" s="1405">
        <f t="shared" si="48"/>
        <v>1740</v>
      </c>
      <c r="K367" s="1405">
        <f t="shared" si="48"/>
        <v>1740</v>
      </c>
      <c r="L367" s="1405">
        <f t="shared" si="48"/>
        <v>1740</v>
      </c>
      <c r="M367" s="1405">
        <f t="shared" si="50"/>
        <v>1914.0000000000002</v>
      </c>
      <c r="N367" s="1403">
        <f t="shared" si="49"/>
        <v>1914.0000000000002</v>
      </c>
      <c r="O367" s="1403">
        <f t="shared" si="49"/>
        <v>1914.0000000000002</v>
      </c>
      <c r="P367" s="1403">
        <f t="shared" si="49"/>
        <v>1914.0000000000002</v>
      </c>
      <c r="Q367" s="1403">
        <v>1914.0000000000002</v>
      </c>
      <c r="R367" s="25"/>
    </row>
    <row r="368" spans="1:18" ht="17.25">
      <c r="A368" s="608">
        <f t="shared" si="51"/>
        <v>35.409999999999918</v>
      </c>
      <c r="B368" s="312" t="s">
        <v>632</v>
      </c>
      <c r="C368" s="52" t="s">
        <v>519</v>
      </c>
      <c r="D368" s="25"/>
      <c r="E368" s="1424"/>
      <c r="F368" s="1424"/>
      <c r="G368" s="1424"/>
      <c r="H368" s="1424">
        <v>2090</v>
      </c>
      <c r="I368" s="1405">
        <v>2090</v>
      </c>
      <c r="J368" s="1405">
        <f t="shared" si="48"/>
        <v>2090</v>
      </c>
      <c r="K368" s="1405">
        <f t="shared" si="48"/>
        <v>2090</v>
      </c>
      <c r="L368" s="1405">
        <f t="shared" si="48"/>
        <v>2090</v>
      </c>
      <c r="M368" s="1405">
        <f t="shared" si="50"/>
        <v>2299</v>
      </c>
      <c r="N368" s="1403">
        <f t="shared" si="49"/>
        <v>2299</v>
      </c>
      <c r="O368" s="1403">
        <f t="shared" si="49"/>
        <v>2299</v>
      </c>
      <c r="P368" s="1403">
        <f t="shared" si="49"/>
        <v>2299</v>
      </c>
      <c r="Q368" s="1403">
        <v>2299</v>
      </c>
      <c r="R368" s="25"/>
    </row>
    <row r="369" spans="1:18" ht="17.25">
      <c r="A369" s="608">
        <f t="shared" si="51"/>
        <v>35.419999999999916</v>
      </c>
      <c r="B369" s="312" t="s">
        <v>673</v>
      </c>
      <c r="C369" s="52" t="s">
        <v>519</v>
      </c>
      <c r="D369" s="25"/>
      <c r="E369" s="1424"/>
      <c r="F369" s="1424"/>
      <c r="G369" s="1424"/>
      <c r="H369" s="1424">
        <v>2130</v>
      </c>
      <c r="I369" s="1405">
        <v>2130</v>
      </c>
      <c r="J369" s="1405">
        <f t="shared" si="48"/>
        <v>2130</v>
      </c>
      <c r="K369" s="1405">
        <f t="shared" si="48"/>
        <v>2130</v>
      </c>
      <c r="L369" s="1405">
        <f t="shared" si="48"/>
        <v>2130</v>
      </c>
      <c r="M369" s="1405">
        <f t="shared" si="50"/>
        <v>2343</v>
      </c>
      <c r="N369" s="1403">
        <f t="shared" si="49"/>
        <v>2343</v>
      </c>
      <c r="O369" s="1403">
        <f t="shared" si="49"/>
        <v>2343</v>
      </c>
      <c r="P369" s="1403">
        <f t="shared" si="49"/>
        <v>2343</v>
      </c>
      <c r="Q369" s="1403">
        <v>2343</v>
      </c>
      <c r="R369" s="25"/>
    </row>
    <row r="370" spans="1:18" ht="17.25">
      <c r="A370" s="608">
        <f t="shared" si="51"/>
        <v>35.429999999999914</v>
      </c>
      <c r="B370" s="312" t="s">
        <v>674</v>
      </c>
      <c r="C370" s="52" t="s">
        <v>519</v>
      </c>
      <c r="D370" s="25"/>
      <c r="E370" s="1424"/>
      <c r="F370" s="1424"/>
      <c r="G370" s="1424"/>
      <c r="H370" s="1424">
        <v>2150</v>
      </c>
      <c r="I370" s="1405">
        <v>2150</v>
      </c>
      <c r="J370" s="1405">
        <f t="shared" si="48"/>
        <v>2150</v>
      </c>
      <c r="K370" s="1405">
        <f t="shared" si="48"/>
        <v>2150</v>
      </c>
      <c r="L370" s="1405">
        <f t="shared" si="48"/>
        <v>2150</v>
      </c>
      <c r="M370" s="1405">
        <f t="shared" si="50"/>
        <v>2365</v>
      </c>
      <c r="N370" s="1403">
        <f t="shared" si="49"/>
        <v>2365</v>
      </c>
      <c r="O370" s="1403">
        <f t="shared" si="49"/>
        <v>2365</v>
      </c>
      <c r="P370" s="1403">
        <f t="shared" si="49"/>
        <v>2365</v>
      </c>
      <c r="Q370" s="1403">
        <v>2365</v>
      </c>
      <c r="R370" s="25"/>
    </row>
    <row r="371" spans="1:18" ht="17.25">
      <c r="A371" s="608">
        <f t="shared" si="51"/>
        <v>35.439999999999912</v>
      </c>
      <c r="B371" s="312" t="s">
        <v>675</v>
      </c>
      <c r="C371" s="52" t="s">
        <v>519</v>
      </c>
      <c r="D371" s="25"/>
      <c r="E371" s="1424"/>
      <c r="F371" s="1424"/>
      <c r="G371" s="1424"/>
      <c r="H371" s="1424">
        <v>2250</v>
      </c>
      <c r="I371" s="1405">
        <v>2250</v>
      </c>
      <c r="J371" s="1405">
        <f t="shared" si="48"/>
        <v>2250</v>
      </c>
      <c r="K371" s="1405">
        <f t="shared" si="48"/>
        <v>2250</v>
      </c>
      <c r="L371" s="1405">
        <f t="shared" si="48"/>
        <v>2250</v>
      </c>
      <c r="M371" s="1405">
        <f t="shared" si="50"/>
        <v>2475</v>
      </c>
      <c r="N371" s="1403">
        <f t="shared" si="49"/>
        <v>2475</v>
      </c>
      <c r="O371" s="1403">
        <f t="shared" si="49"/>
        <v>2475</v>
      </c>
      <c r="P371" s="1403">
        <f t="shared" si="49"/>
        <v>2475</v>
      </c>
      <c r="Q371" s="1403">
        <v>2475</v>
      </c>
      <c r="R371" s="25"/>
    </row>
    <row r="372" spans="1:18" ht="17.25">
      <c r="A372" s="608">
        <f t="shared" si="51"/>
        <v>35.44999999999991</v>
      </c>
      <c r="B372" s="312" t="s">
        <v>676</v>
      </c>
      <c r="C372" s="52" t="s">
        <v>519</v>
      </c>
      <c r="D372" s="25"/>
      <c r="E372" s="1424"/>
      <c r="F372" s="1424"/>
      <c r="G372" s="1424"/>
      <c r="H372" s="1424">
        <v>2530</v>
      </c>
      <c r="I372" s="1405">
        <v>2530</v>
      </c>
      <c r="J372" s="1405">
        <f t="shared" si="48"/>
        <v>2530</v>
      </c>
      <c r="K372" s="1405">
        <f t="shared" si="48"/>
        <v>2530</v>
      </c>
      <c r="L372" s="1405">
        <f t="shared" si="48"/>
        <v>2530</v>
      </c>
      <c r="M372" s="1405">
        <f t="shared" si="50"/>
        <v>2783</v>
      </c>
      <c r="N372" s="1403">
        <f t="shared" si="49"/>
        <v>2783</v>
      </c>
      <c r="O372" s="1403">
        <f t="shared" si="49"/>
        <v>2783</v>
      </c>
      <c r="P372" s="1403">
        <f t="shared" si="49"/>
        <v>2783</v>
      </c>
      <c r="Q372" s="1403">
        <v>2783</v>
      </c>
      <c r="R372" s="25"/>
    </row>
    <row r="373" spans="1:18" ht="17.25">
      <c r="A373" s="608">
        <f t="shared" si="51"/>
        <v>35.459999999999908</v>
      </c>
      <c r="B373" s="312" t="s">
        <v>639</v>
      </c>
      <c r="C373" s="52" t="s">
        <v>519</v>
      </c>
      <c r="D373" s="25"/>
      <c r="E373" s="1424"/>
      <c r="F373" s="1424"/>
      <c r="G373" s="1424"/>
      <c r="H373" s="1424">
        <v>2110</v>
      </c>
      <c r="I373" s="1405">
        <v>2110</v>
      </c>
      <c r="J373" s="1405">
        <f t="shared" si="48"/>
        <v>2110</v>
      </c>
      <c r="K373" s="1405">
        <f t="shared" si="48"/>
        <v>2110</v>
      </c>
      <c r="L373" s="1405">
        <f t="shared" si="48"/>
        <v>2110</v>
      </c>
      <c r="M373" s="1405">
        <f t="shared" si="50"/>
        <v>2321</v>
      </c>
      <c r="N373" s="1403">
        <f t="shared" si="49"/>
        <v>2321</v>
      </c>
      <c r="O373" s="1403">
        <f t="shared" si="49"/>
        <v>2321</v>
      </c>
      <c r="P373" s="1403">
        <f t="shared" si="49"/>
        <v>2321</v>
      </c>
      <c r="Q373" s="1403">
        <v>2321</v>
      </c>
      <c r="R373" s="25"/>
    </row>
    <row r="374" spans="1:18" ht="17.25">
      <c r="A374" s="608">
        <f t="shared" si="51"/>
        <v>35.469999999999906</v>
      </c>
      <c r="B374" s="312" t="s">
        <v>677</v>
      </c>
      <c r="C374" s="52" t="s">
        <v>519</v>
      </c>
      <c r="D374" s="25"/>
      <c r="E374" s="1424"/>
      <c r="F374" s="1424"/>
      <c r="G374" s="1424"/>
      <c r="H374" s="1424">
        <v>2260</v>
      </c>
      <c r="I374" s="1405">
        <v>2260</v>
      </c>
      <c r="J374" s="1405">
        <f t="shared" si="48"/>
        <v>2260</v>
      </c>
      <c r="K374" s="1405">
        <f t="shared" si="48"/>
        <v>2260</v>
      </c>
      <c r="L374" s="1405">
        <f t="shared" si="48"/>
        <v>2260</v>
      </c>
      <c r="M374" s="1405">
        <f t="shared" si="50"/>
        <v>2486</v>
      </c>
      <c r="N374" s="1403">
        <f t="shared" si="49"/>
        <v>2486</v>
      </c>
      <c r="O374" s="1403">
        <f t="shared" si="49"/>
        <v>2486</v>
      </c>
      <c r="P374" s="1403">
        <f t="shared" si="49"/>
        <v>2486</v>
      </c>
      <c r="Q374" s="1403">
        <v>2486</v>
      </c>
      <c r="R374" s="25"/>
    </row>
    <row r="375" spans="1:18" ht="17.25">
      <c r="A375" s="608">
        <f t="shared" si="51"/>
        <v>35.479999999999905</v>
      </c>
      <c r="B375" s="312" t="s">
        <v>678</v>
      </c>
      <c r="C375" s="52" t="s">
        <v>519</v>
      </c>
      <c r="D375" s="25"/>
      <c r="E375" s="1424"/>
      <c r="F375" s="1424"/>
      <c r="G375" s="1424"/>
      <c r="H375" s="1424">
        <v>2370</v>
      </c>
      <c r="I375" s="1405">
        <v>2370</v>
      </c>
      <c r="J375" s="1405">
        <f t="shared" si="48"/>
        <v>2370</v>
      </c>
      <c r="K375" s="1405">
        <f t="shared" si="48"/>
        <v>2370</v>
      </c>
      <c r="L375" s="1405">
        <f t="shared" si="48"/>
        <v>2370</v>
      </c>
      <c r="M375" s="1405">
        <f t="shared" si="50"/>
        <v>2607</v>
      </c>
      <c r="N375" s="1403">
        <f t="shared" si="49"/>
        <v>2607</v>
      </c>
      <c r="O375" s="1403">
        <f t="shared" si="49"/>
        <v>2607</v>
      </c>
      <c r="P375" s="1403">
        <f t="shared" si="49"/>
        <v>2607</v>
      </c>
      <c r="Q375" s="1403">
        <v>2607</v>
      </c>
      <c r="R375" s="25"/>
    </row>
    <row r="376" spans="1:18" ht="17.25">
      <c r="A376" s="608">
        <f t="shared" si="51"/>
        <v>35.489999999999903</v>
      </c>
      <c r="B376" s="312" t="s">
        <v>679</v>
      </c>
      <c r="C376" s="52" t="s">
        <v>519</v>
      </c>
      <c r="D376" s="25"/>
      <c r="E376" s="1424"/>
      <c r="F376" s="1424"/>
      <c r="G376" s="1424"/>
      <c r="H376" s="1424">
        <v>2490</v>
      </c>
      <c r="I376" s="1405">
        <v>2490</v>
      </c>
      <c r="J376" s="1405">
        <f t="shared" si="48"/>
        <v>2490</v>
      </c>
      <c r="K376" s="1405">
        <f t="shared" si="48"/>
        <v>2490</v>
      </c>
      <c r="L376" s="1405">
        <f t="shared" si="48"/>
        <v>2490</v>
      </c>
      <c r="M376" s="1405">
        <f t="shared" si="50"/>
        <v>2739</v>
      </c>
      <c r="N376" s="1403">
        <f t="shared" si="49"/>
        <v>2739</v>
      </c>
      <c r="O376" s="1403">
        <f t="shared" si="49"/>
        <v>2739</v>
      </c>
      <c r="P376" s="1403">
        <f t="shared" si="49"/>
        <v>2739</v>
      </c>
      <c r="Q376" s="1403">
        <v>2739</v>
      </c>
      <c r="R376" s="25"/>
    </row>
    <row r="377" spans="1:18" ht="17.25">
      <c r="A377" s="608">
        <f t="shared" si="51"/>
        <v>35.499999999999901</v>
      </c>
      <c r="B377" s="312" t="s">
        <v>680</v>
      </c>
      <c r="C377" s="52" t="s">
        <v>519</v>
      </c>
      <c r="D377" s="25"/>
      <c r="E377" s="1424"/>
      <c r="F377" s="1424"/>
      <c r="G377" s="1424"/>
      <c r="H377" s="1424">
        <v>2670</v>
      </c>
      <c r="I377" s="1405">
        <v>2670</v>
      </c>
      <c r="J377" s="1405">
        <f t="shared" si="48"/>
        <v>2670</v>
      </c>
      <c r="K377" s="1405">
        <f t="shared" si="48"/>
        <v>2670</v>
      </c>
      <c r="L377" s="1405">
        <f t="shared" si="48"/>
        <v>2670</v>
      </c>
      <c r="M377" s="1405">
        <f t="shared" si="50"/>
        <v>2937.0000000000005</v>
      </c>
      <c r="N377" s="1403">
        <f t="shared" si="49"/>
        <v>2937.0000000000005</v>
      </c>
      <c r="O377" s="1403">
        <f t="shared" si="49"/>
        <v>2937.0000000000005</v>
      </c>
      <c r="P377" s="1403">
        <f t="shared" si="49"/>
        <v>2937.0000000000005</v>
      </c>
      <c r="Q377" s="1403">
        <v>2937.0000000000005</v>
      </c>
      <c r="R377" s="25"/>
    </row>
    <row r="378" spans="1:18" ht="17.25">
      <c r="A378" s="608">
        <f t="shared" si="51"/>
        <v>35.509999999999899</v>
      </c>
      <c r="B378" s="312" t="s">
        <v>681</v>
      </c>
      <c r="C378" s="52" t="s">
        <v>519</v>
      </c>
      <c r="D378" s="25"/>
      <c r="E378" s="1424"/>
      <c r="F378" s="1424"/>
      <c r="G378" s="1424"/>
      <c r="H378" s="1424">
        <v>2850</v>
      </c>
      <c r="I378" s="1405">
        <v>2850</v>
      </c>
      <c r="J378" s="1405">
        <f t="shared" si="48"/>
        <v>2850</v>
      </c>
      <c r="K378" s="1405">
        <f t="shared" si="48"/>
        <v>2850</v>
      </c>
      <c r="L378" s="1405">
        <f t="shared" si="48"/>
        <v>2850</v>
      </c>
      <c r="M378" s="1405">
        <f t="shared" si="50"/>
        <v>3135.0000000000005</v>
      </c>
      <c r="N378" s="1403">
        <f t="shared" si="49"/>
        <v>3135.0000000000005</v>
      </c>
      <c r="O378" s="1403">
        <f t="shared" si="49"/>
        <v>3135.0000000000005</v>
      </c>
      <c r="P378" s="1403">
        <f t="shared" si="49"/>
        <v>3135.0000000000005</v>
      </c>
      <c r="Q378" s="1403">
        <v>3135.0000000000005</v>
      </c>
      <c r="R378" s="25"/>
    </row>
    <row r="379" spans="1:18" ht="15.75">
      <c r="A379" s="328">
        <v>36</v>
      </c>
      <c r="B379" s="398" t="s">
        <v>682</v>
      </c>
      <c r="C379" s="591"/>
      <c r="D379" s="330"/>
      <c r="E379" s="1425"/>
      <c r="F379" s="1425"/>
      <c r="G379" s="1425"/>
      <c r="H379" s="1425"/>
      <c r="I379" s="1408"/>
      <c r="J379" s="1408"/>
      <c r="K379" s="1408"/>
      <c r="L379" s="1408"/>
      <c r="M379" s="1408"/>
      <c r="N379" s="1407"/>
      <c r="O379" s="1407"/>
      <c r="P379" s="1407"/>
      <c r="Q379" s="1407"/>
      <c r="R379" s="330"/>
    </row>
    <row r="380" spans="1:18" ht="17.25">
      <c r="A380" s="608">
        <f>A379+0.01</f>
        <v>36.01</v>
      </c>
      <c r="B380" s="312" t="s">
        <v>683</v>
      </c>
      <c r="C380" s="52" t="s">
        <v>519</v>
      </c>
      <c r="D380" s="25"/>
      <c r="E380" s="1424"/>
      <c r="F380" s="1424"/>
      <c r="G380" s="1424"/>
      <c r="H380" s="1424">
        <v>216</v>
      </c>
      <c r="I380" s="1405">
        <v>216</v>
      </c>
      <c r="J380" s="1405">
        <f t="shared" si="48"/>
        <v>216</v>
      </c>
      <c r="K380" s="1405">
        <f t="shared" si="48"/>
        <v>216</v>
      </c>
      <c r="L380" s="1405">
        <f t="shared" si="48"/>
        <v>216</v>
      </c>
      <c r="M380" s="1405">
        <f t="shared" si="50"/>
        <v>237.60000000000002</v>
      </c>
      <c r="N380" s="1403">
        <f t="shared" si="49"/>
        <v>237.60000000000002</v>
      </c>
      <c r="O380" s="1403">
        <f t="shared" si="49"/>
        <v>237.60000000000002</v>
      </c>
      <c r="P380" s="1403">
        <f t="shared" si="49"/>
        <v>237.60000000000002</v>
      </c>
      <c r="Q380" s="1403">
        <v>237.60000000000002</v>
      </c>
      <c r="R380" s="25"/>
    </row>
    <row r="381" spans="1:18" ht="17.25">
      <c r="A381" s="608">
        <f t="shared" ref="A381:A424" si="52">A380+0.01</f>
        <v>36.019999999999996</v>
      </c>
      <c r="B381" s="312" t="s">
        <v>578</v>
      </c>
      <c r="C381" s="52" t="s">
        <v>519</v>
      </c>
      <c r="D381" s="25"/>
      <c r="E381" s="1424"/>
      <c r="F381" s="1424"/>
      <c r="G381" s="1424"/>
      <c r="H381" s="1424">
        <v>270</v>
      </c>
      <c r="I381" s="1405">
        <v>270</v>
      </c>
      <c r="J381" s="1405">
        <f t="shared" si="48"/>
        <v>270</v>
      </c>
      <c r="K381" s="1405">
        <f t="shared" si="48"/>
        <v>270</v>
      </c>
      <c r="L381" s="1405">
        <f t="shared" si="48"/>
        <v>270</v>
      </c>
      <c r="M381" s="1405">
        <f t="shared" si="50"/>
        <v>297</v>
      </c>
      <c r="N381" s="1403">
        <f t="shared" si="49"/>
        <v>297</v>
      </c>
      <c r="O381" s="1403">
        <f t="shared" si="49"/>
        <v>297</v>
      </c>
      <c r="P381" s="1403">
        <f t="shared" si="49"/>
        <v>297</v>
      </c>
      <c r="Q381" s="1403">
        <v>297</v>
      </c>
      <c r="R381" s="25"/>
    </row>
    <row r="382" spans="1:18" ht="17.25">
      <c r="A382" s="608">
        <f t="shared" si="52"/>
        <v>36.029999999999994</v>
      </c>
      <c r="B382" s="312" t="s">
        <v>579</v>
      </c>
      <c r="C382" s="52" t="s">
        <v>519</v>
      </c>
      <c r="D382" s="25"/>
      <c r="E382" s="1424"/>
      <c r="F382" s="1424"/>
      <c r="G382" s="1424"/>
      <c r="H382" s="1424">
        <v>270</v>
      </c>
      <c r="I382" s="1405">
        <v>270</v>
      </c>
      <c r="J382" s="1405">
        <f t="shared" si="48"/>
        <v>270</v>
      </c>
      <c r="K382" s="1405">
        <f t="shared" si="48"/>
        <v>270</v>
      </c>
      <c r="L382" s="1405">
        <f t="shared" si="48"/>
        <v>270</v>
      </c>
      <c r="M382" s="1405">
        <f t="shared" si="50"/>
        <v>297</v>
      </c>
      <c r="N382" s="1403">
        <f t="shared" si="49"/>
        <v>297</v>
      </c>
      <c r="O382" s="1403">
        <f t="shared" si="49"/>
        <v>297</v>
      </c>
      <c r="P382" s="1403">
        <f t="shared" si="49"/>
        <v>297</v>
      </c>
      <c r="Q382" s="1403">
        <v>297</v>
      </c>
      <c r="R382" s="25"/>
    </row>
    <row r="383" spans="1:18" ht="17.25">
      <c r="A383" s="608">
        <f t="shared" si="52"/>
        <v>36.039999999999992</v>
      </c>
      <c r="B383" s="312" t="s">
        <v>684</v>
      </c>
      <c r="C383" s="52" t="s">
        <v>519</v>
      </c>
      <c r="D383" s="25"/>
      <c r="E383" s="1424"/>
      <c r="F383" s="1424"/>
      <c r="G383" s="1424"/>
      <c r="H383" s="1424">
        <v>450</v>
      </c>
      <c r="I383" s="1405">
        <v>450</v>
      </c>
      <c r="J383" s="1405">
        <f t="shared" ref="J383:L446" si="53">I383</f>
        <v>450</v>
      </c>
      <c r="K383" s="1405">
        <f t="shared" si="53"/>
        <v>450</v>
      </c>
      <c r="L383" s="1405">
        <f t="shared" si="53"/>
        <v>450</v>
      </c>
      <c r="M383" s="1405">
        <f t="shared" si="50"/>
        <v>495.00000000000006</v>
      </c>
      <c r="N383" s="1403">
        <f t="shared" ref="N383:P446" si="54">M383</f>
        <v>495.00000000000006</v>
      </c>
      <c r="O383" s="1403">
        <f t="shared" si="54"/>
        <v>495.00000000000006</v>
      </c>
      <c r="P383" s="1403">
        <f t="shared" si="54"/>
        <v>495.00000000000006</v>
      </c>
      <c r="Q383" s="1403">
        <v>495.00000000000006</v>
      </c>
      <c r="R383" s="25"/>
    </row>
    <row r="384" spans="1:18" ht="17.25">
      <c r="A384" s="608">
        <f t="shared" si="52"/>
        <v>36.04999999999999</v>
      </c>
      <c r="B384" s="312" t="s">
        <v>581</v>
      </c>
      <c r="C384" s="52" t="s">
        <v>519</v>
      </c>
      <c r="D384" s="25"/>
      <c r="E384" s="1424"/>
      <c r="F384" s="1424"/>
      <c r="G384" s="1424"/>
      <c r="H384" s="1424">
        <v>470</v>
      </c>
      <c r="I384" s="1405">
        <v>470</v>
      </c>
      <c r="J384" s="1405">
        <f t="shared" si="53"/>
        <v>470</v>
      </c>
      <c r="K384" s="1405">
        <f t="shared" si="53"/>
        <v>470</v>
      </c>
      <c r="L384" s="1405">
        <f t="shared" si="53"/>
        <v>470</v>
      </c>
      <c r="M384" s="1405">
        <f t="shared" si="50"/>
        <v>517</v>
      </c>
      <c r="N384" s="1403">
        <f t="shared" si="54"/>
        <v>517</v>
      </c>
      <c r="O384" s="1403">
        <f t="shared" si="54"/>
        <v>517</v>
      </c>
      <c r="P384" s="1403">
        <f t="shared" si="54"/>
        <v>517</v>
      </c>
      <c r="Q384" s="1403">
        <v>517</v>
      </c>
      <c r="R384" s="25"/>
    </row>
    <row r="385" spans="1:18" ht="17.25">
      <c r="A385" s="608">
        <f t="shared" si="52"/>
        <v>36.059999999999988</v>
      </c>
      <c r="B385" s="312" t="s">
        <v>582</v>
      </c>
      <c r="C385" s="52" t="s">
        <v>519</v>
      </c>
      <c r="D385" s="25"/>
      <c r="E385" s="1424"/>
      <c r="F385" s="1424"/>
      <c r="G385" s="1424"/>
      <c r="H385" s="1424">
        <v>470</v>
      </c>
      <c r="I385" s="1405">
        <v>470</v>
      </c>
      <c r="J385" s="1405">
        <f t="shared" si="53"/>
        <v>470</v>
      </c>
      <c r="K385" s="1405">
        <f t="shared" si="53"/>
        <v>470</v>
      </c>
      <c r="L385" s="1405">
        <f t="shared" si="53"/>
        <v>470</v>
      </c>
      <c r="M385" s="1405">
        <f t="shared" si="50"/>
        <v>517</v>
      </c>
      <c r="N385" s="1403">
        <f t="shared" si="54"/>
        <v>517</v>
      </c>
      <c r="O385" s="1403">
        <f t="shared" si="54"/>
        <v>517</v>
      </c>
      <c r="P385" s="1403">
        <f t="shared" si="54"/>
        <v>517</v>
      </c>
      <c r="Q385" s="1403">
        <v>517</v>
      </c>
      <c r="R385" s="25"/>
    </row>
    <row r="386" spans="1:18" ht="17.25">
      <c r="A386" s="608">
        <f t="shared" si="52"/>
        <v>36.069999999999986</v>
      </c>
      <c r="B386" s="312" t="s">
        <v>583</v>
      </c>
      <c r="C386" s="52" t="s">
        <v>519</v>
      </c>
      <c r="D386" s="25"/>
      <c r="E386" s="1424"/>
      <c r="F386" s="1424"/>
      <c r="G386" s="1424"/>
      <c r="H386" s="1424">
        <v>670</v>
      </c>
      <c r="I386" s="1405">
        <v>670</v>
      </c>
      <c r="J386" s="1405">
        <f t="shared" si="53"/>
        <v>670</v>
      </c>
      <c r="K386" s="1405">
        <f t="shared" si="53"/>
        <v>670</v>
      </c>
      <c r="L386" s="1405">
        <f t="shared" si="53"/>
        <v>670</v>
      </c>
      <c r="M386" s="1405">
        <f t="shared" si="50"/>
        <v>737.00000000000011</v>
      </c>
      <c r="N386" s="1403">
        <f t="shared" si="54"/>
        <v>737.00000000000011</v>
      </c>
      <c r="O386" s="1403">
        <f t="shared" si="54"/>
        <v>737.00000000000011</v>
      </c>
      <c r="P386" s="1403">
        <f t="shared" si="54"/>
        <v>737.00000000000011</v>
      </c>
      <c r="Q386" s="1403">
        <v>737.00000000000011</v>
      </c>
      <c r="R386" s="25"/>
    </row>
    <row r="387" spans="1:18" ht="17.25">
      <c r="A387" s="608">
        <f t="shared" si="52"/>
        <v>36.079999999999984</v>
      </c>
      <c r="B387" s="312" t="s">
        <v>584</v>
      </c>
      <c r="C387" s="52" t="s">
        <v>519</v>
      </c>
      <c r="D387" s="25"/>
      <c r="E387" s="1424"/>
      <c r="F387" s="1424"/>
      <c r="G387" s="1424"/>
      <c r="H387" s="1424">
        <v>690</v>
      </c>
      <c r="I387" s="1405">
        <v>690</v>
      </c>
      <c r="J387" s="1405">
        <f t="shared" si="53"/>
        <v>690</v>
      </c>
      <c r="K387" s="1405">
        <f t="shared" si="53"/>
        <v>690</v>
      </c>
      <c r="L387" s="1405">
        <f t="shared" si="53"/>
        <v>690</v>
      </c>
      <c r="M387" s="1405">
        <f t="shared" si="50"/>
        <v>759.00000000000011</v>
      </c>
      <c r="N387" s="1403">
        <f t="shared" si="54"/>
        <v>759.00000000000011</v>
      </c>
      <c r="O387" s="1403">
        <f t="shared" si="54"/>
        <v>759.00000000000011</v>
      </c>
      <c r="P387" s="1403">
        <f t="shared" si="54"/>
        <v>759.00000000000011</v>
      </c>
      <c r="Q387" s="1403">
        <v>759.00000000000011</v>
      </c>
      <c r="R387" s="25"/>
    </row>
    <row r="388" spans="1:18" ht="17.25">
      <c r="A388" s="608">
        <f t="shared" si="52"/>
        <v>36.089999999999982</v>
      </c>
      <c r="B388" s="312" t="s">
        <v>585</v>
      </c>
      <c r="C388" s="52" t="s">
        <v>519</v>
      </c>
      <c r="D388" s="25"/>
      <c r="E388" s="1424"/>
      <c r="F388" s="1424"/>
      <c r="G388" s="1424"/>
      <c r="H388" s="1424">
        <v>710</v>
      </c>
      <c r="I388" s="1405">
        <v>710</v>
      </c>
      <c r="J388" s="1405">
        <f t="shared" si="53"/>
        <v>710</v>
      </c>
      <c r="K388" s="1405">
        <f t="shared" si="53"/>
        <v>710</v>
      </c>
      <c r="L388" s="1405">
        <f t="shared" si="53"/>
        <v>710</v>
      </c>
      <c r="M388" s="1405">
        <f t="shared" si="50"/>
        <v>781.00000000000011</v>
      </c>
      <c r="N388" s="1403">
        <f t="shared" si="54"/>
        <v>781.00000000000011</v>
      </c>
      <c r="O388" s="1403">
        <f t="shared" si="54"/>
        <v>781.00000000000011</v>
      </c>
      <c r="P388" s="1403">
        <f t="shared" si="54"/>
        <v>781.00000000000011</v>
      </c>
      <c r="Q388" s="1403">
        <v>781.00000000000011</v>
      </c>
      <c r="R388" s="25"/>
    </row>
    <row r="389" spans="1:18" ht="17.25">
      <c r="A389" s="608">
        <f t="shared" si="52"/>
        <v>36.09999999999998</v>
      </c>
      <c r="B389" s="312" t="s">
        <v>586</v>
      </c>
      <c r="C389" s="52" t="s">
        <v>519</v>
      </c>
      <c r="D389" s="25"/>
      <c r="E389" s="1424"/>
      <c r="F389" s="1424"/>
      <c r="G389" s="1424"/>
      <c r="H389" s="1424">
        <v>710</v>
      </c>
      <c r="I389" s="1405">
        <v>710</v>
      </c>
      <c r="J389" s="1405">
        <f t="shared" si="53"/>
        <v>710</v>
      </c>
      <c r="K389" s="1405">
        <f t="shared" si="53"/>
        <v>710</v>
      </c>
      <c r="L389" s="1405">
        <f t="shared" si="53"/>
        <v>710</v>
      </c>
      <c r="M389" s="1405">
        <f t="shared" ref="M389:M452" si="55">L389*1.1</f>
        <v>781.00000000000011</v>
      </c>
      <c r="N389" s="1403">
        <f t="shared" si="54"/>
        <v>781.00000000000011</v>
      </c>
      <c r="O389" s="1403">
        <f t="shared" si="54"/>
        <v>781.00000000000011</v>
      </c>
      <c r="P389" s="1403">
        <f t="shared" si="54"/>
        <v>781.00000000000011</v>
      </c>
      <c r="Q389" s="1403">
        <v>781.00000000000011</v>
      </c>
      <c r="R389" s="25"/>
    </row>
    <row r="390" spans="1:18" ht="17.25">
      <c r="A390" s="608">
        <f t="shared" si="52"/>
        <v>36.109999999999978</v>
      </c>
      <c r="B390" s="312" t="s">
        <v>587</v>
      </c>
      <c r="C390" s="52" t="s">
        <v>519</v>
      </c>
      <c r="D390" s="25"/>
      <c r="E390" s="1424"/>
      <c r="F390" s="1424"/>
      <c r="G390" s="1424"/>
      <c r="H390" s="1424">
        <v>890</v>
      </c>
      <c r="I390" s="1405">
        <v>890</v>
      </c>
      <c r="J390" s="1405">
        <f t="shared" si="53"/>
        <v>890</v>
      </c>
      <c r="K390" s="1405">
        <f t="shared" si="53"/>
        <v>890</v>
      </c>
      <c r="L390" s="1405">
        <f t="shared" si="53"/>
        <v>890</v>
      </c>
      <c r="M390" s="1405">
        <f t="shared" si="55"/>
        <v>979.00000000000011</v>
      </c>
      <c r="N390" s="1403">
        <f t="shared" si="54"/>
        <v>979.00000000000011</v>
      </c>
      <c r="O390" s="1403">
        <f t="shared" si="54"/>
        <v>979.00000000000011</v>
      </c>
      <c r="P390" s="1403">
        <f t="shared" si="54"/>
        <v>979.00000000000011</v>
      </c>
      <c r="Q390" s="1403">
        <v>979.00000000000011</v>
      </c>
      <c r="R390" s="25"/>
    </row>
    <row r="391" spans="1:18" ht="17.25">
      <c r="A391" s="608">
        <f t="shared" si="52"/>
        <v>36.119999999999976</v>
      </c>
      <c r="B391" s="312" t="s">
        <v>588</v>
      </c>
      <c r="C391" s="52" t="s">
        <v>519</v>
      </c>
      <c r="D391" s="25"/>
      <c r="E391" s="1424"/>
      <c r="F391" s="1424"/>
      <c r="G391" s="1424"/>
      <c r="H391" s="1424">
        <v>910</v>
      </c>
      <c r="I391" s="1405">
        <v>910</v>
      </c>
      <c r="J391" s="1405">
        <f t="shared" si="53"/>
        <v>910</v>
      </c>
      <c r="K391" s="1405">
        <f t="shared" si="53"/>
        <v>910</v>
      </c>
      <c r="L391" s="1405">
        <f t="shared" si="53"/>
        <v>910</v>
      </c>
      <c r="M391" s="1405">
        <f t="shared" si="55"/>
        <v>1001.0000000000001</v>
      </c>
      <c r="N391" s="1403">
        <f t="shared" si="54"/>
        <v>1001.0000000000001</v>
      </c>
      <c r="O391" s="1403">
        <f t="shared" si="54"/>
        <v>1001.0000000000001</v>
      </c>
      <c r="P391" s="1403">
        <f t="shared" si="54"/>
        <v>1001.0000000000001</v>
      </c>
      <c r="Q391" s="1403">
        <v>1001.0000000000001</v>
      </c>
      <c r="R391" s="25"/>
    </row>
    <row r="392" spans="1:18" ht="17.25">
      <c r="A392" s="608">
        <f t="shared" si="52"/>
        <v>36.129999999999974</v>
      </c>
      <c r="B392" s="312" t="s">
        <v>589</v>
      </c>
      <c r="C392" s="52" t="s">
        <v>519</v>
      </c>
      <c r="D392" s="25"/>
      <c r="E392" s="1424"/>
      <c r="F392" s="1424"/>
      <c r="G392" s="1424"/>
      <c r="H392" s="1424">
        <v>950</v>
      </c>
      <c r="I392" s="1405">
        <v>950</v>
      </c>
      <c r="J392" s="1405">
        <f t="shared" si="53"/>
        <v>950</v>
      </c>
      <c r="K392" s="1405">
        <f t="shared" si="53"/>
        <v>950</v>
      </c>
      <c r="L392" s="1405">
        <f t="shared" si="53"/>
        <v>950</v>
      </c>
      <c r="M392" s="1405">
        <f t="shared" si="55"/>
        <v>1045</v>
      </c>
      <c r="N392" s="1403">
        <f t="shared" si="54"/>
        <v>1045</v>
      </c>
      <c r="O392" s="1403">
        <f t="shared" si="54"/>
        <v>1045</v>
      </c>
      <c r="P392" s="1403">
        <f t="shared" si="54"/>
        <v>1045</v>
      </c>
      <c r="Q392" s="1403">
        <v>1045</v>
      </c>
      <c r="R392" s="25"/>
    </row>
    <row r="393" spans="1:18" ht="17.25">
      <c r="A393" s="608">
        <f t="shared" si="52"/>
        <v>36.139999999999972</v>
      </c>
      <c r="B393" s="312" t="s">
        <v>590</v>
      </c>
      <c r="C393" s="52" t="s">
        <v>519</v>
      </c>
      <c r="D393" s="25"/>
      <c r="E393" s="1424"/>
      <c r="F393" s="1424"/>
      <c r="G393" s="1424"/>
      <c r="H393" s="1424">
        <v>970</v>
      </c>
      <c r="I393" s="1405">
        <v>970</v>
      </c>
      <c r="J393" s="1405">
        <f t="shared" si="53"/>
        <v>970</v>
      </c>
      <c r="K393" s="1405">
        <f t="shared" si="53"/>
        <v>970</v>
      </c>
      <c r="L393" s="1405">
        <f t="shared" si="53"/>
        <v>970</v>
      </c>
      <c r="M393" s="1405">
        <f t="shared" si="55"/>
        <v>1067</v>
      </c>
      <c r="N393" s="1403">
        <f t="shared" si="54"/>
        <v>1067</v>
      </c>
      <c r="O393" s="1403">
        <f t="shared" si="54"/>
        <v>1067</v>
      </c>
      <c r="P393" s="1403">
        <f t="shared" si="54"/>
        <v>1067</v>
      </c>
      <c r="Q393" s="1403">
        <v>1067</v>
      </c>
      <c r="R393" s="25"/>
    </row>
    <row r="394" spans="1:18" ht="17.25">
      <c r="A394" s="608">
        <f t="shared" si="52"/>
        <v>36.14999999999997</v>
      </c>
      <c r="B394" s="312" t="s">
        <v>591</v>
      </c>
      <c r="C394" s="52" t="s">
        <v>519</v>
      </c>
      <c r="D394" s="25"/>
      <c r="E394" s="1424"/>
      <c r="F394" s="1424"/>
      <c r="G394" s="1424"/>
      <c r="H394" s="1424">
        <v>990</v>
      </c>
      <c r="I394" s="1405">
        <v>990</v>
      </c>
      <c r="J394" s="1405">
        <f t="shared" si="53"/>
        <v>990</v>
      </c>
      <c r="K394" s="1405">
        <f t="shared" si="53"/>
        <v>990</v>
      </c>
      <c r="L394" s="1405">
        <f t="shared" si="53"/>
        <v>990</v>
      </c>
      <c r="M394" s="1405">
        <f t="shared" si="55"/>
        <v>1089</v>
      </c>
      <c r="N394" s="1403">
        <f t="shared" si="54"/>
        <v>1089</v>
      </c>
      <c r="O394" s="1403">
        <f t="shared" si="54"/>
        <v>1089</v>
      </c>
      <c r="P394" s="1403">
        <f t="shared" si="54"/>
        <v>1089</v>
      </c>
      <c r="Q394" s="1403">
        <v>1089</v>
      </c>
      <c r="R394" s="25"/>
    </row>
    <row r="395" spans="1:18" ht="17.25">
      <c r="A395" s="608">
        <f t="shared" si="52"/>
        <v>36.159999999999968</v>
      </c>
      <c r="B395" s="312" t="s">
        <v>594</v>
      </c>
      <c r="C395" s="52" t="s">
        <v>519</v>
      </c>
      <c r="D395" s="25"/>
      <c r="E395" s="1424"/>
      <c r="F395" s="1424"/>
      <c r="G395" s="1424"/>
      <c r="H395" s="1424">
        <v>1450</v>
      </c>
      <c r="I395" s="1405">
        <v>1450</v>
      </c>
      <c r="J395" s="1405">
        <f t="shared" si="53"/>
        <v>1450</v>
      </c>
      <c r="K395" s="1405">
        <f t="shared" si="53"/>
        <v>1450</v>
      </c>
      <c r="L395" s="1405">
        <f t="shared" si="53"/>
        <v>1450</v>
      </c>
      <c r="M395" s="1405">
        <f t="shared" si="55"/>
        <v>1595.0000000000002</v>
      </c>
      <c r="N395" s="1403">
        <f t="shared" si="54"/>
        <v>1595.0000000000002</v>
      </c>
      <c r="O395" s="1403">
        <f t="shared" si="54"/>
        <v>1595.0000000000002</v>
      </c>
      <c r="P395" s="1403">
        <f t="shared" si="54"/>
        <v>1595.0000000000002</v>
      </c>
      <c r="Q395" s="1403">
        <v>1595.0000000000002</v>
      </c>
      <c r="R395" s="25"/>
    </row>
    <row r="396" spans="1:18" ht="17.25">
      <c r="A396" s="608">
        <f t="shared" si="52"/>
        <v>36.169999999999966</v>
      </c>
      <c r="B396" s="312" t="s">
        <v>595</v>
      </c>
      <c r="C396" s="52" t="s">
        <v>519</v>
      </c>
      <c r="D396" s="25"/>
      <c r="E396" s="1424"/>
      <c r="F396" s="1424"/>
      <c r="G396" s="1424"/>
      <c r="H396" s="1424">
        <v>1490</v>
      </c>
      <c r="I396" s="1405">
        <v>1490</v>
      </c>
      <c r="J396" s="1405">
        <f t="shared" si="53"/>
        <v>1490</v>
      </c>
      <c r="K396" s="1405">
        <f t="shared" si="53"/>
        <v>1490</v>
      </c>
      <c r="L396" s="1405">
        <f t="shared" si="53"/>
        <v>1490</v>
      </c>
      <c r="M396" s="1405">
        <f t="shared" si="55"/>
        <v>1639.0000000000002</v>
      </c>
      <c r="N396" s="1403">
        <f t="shared" si="54"/>
        <v>1639.0000000000002</v>
      </c>
      <c r="O396" s="1403">
        <f t="shared" si="54"/>
        <v>1639.0000000000002</v>
      </c>
      <c r="P396" s="1403">
        <f t="shared" si="54"/>
        <v>1639.0000000000002</v>
      </c>
      <c r="Q396" s="1403">
        <v>1639.0000000000002</v>
      </c>
      <c r="R396" s="25"/>
    </row>
    <row r="397" spans="1:18" ht="17.25">
      <c r="A397" s="608">
        <f t="shared" si="52"/>
        <v>36.179999999999964</v>
      </c>
      <c r="B397" s="312" t="s">
        <v>596</v>
      </c>
      <c r="C397" s="52" t="s">
        <v>519</v>
      </c>
      <c r="D397" s="25"/>
      <c r="E397" s="1424"/>
      <c r="F397" s="1424"/>
      <c r="G397" s="1424"/>
      <c r="H397" s="1424">
        <v>1530</v>
      </c>
      <c r="I397" s="1405">
        <v>1530</v>
      </c>
      <c r="J397" s="1405">
        <f t="shared" si="53"/>
        <v>1530</v>
      </c>
      <c r="K397" s="1405">
        <f t="shared" si="53"/>
        <v>1530</v>
      </c>
      <c r="L397" s="1405">
        <f t="shared" si="53"/>
        <v>1530</v>
      </c>
      <c r="M397" s="1405">
        <f t="shared" si="55"/>
        <v>1683.0000000000002</v>
      </c>
      <c r="N397" s="1403">
        <f t="shared" si="54"/>
        <v>1683.0000000000002</v>
      </c>
      <c r="O397" s="1403">
        <f t="shared" si="54"/>
        <v>1683.0000000000002</v>
      </c>
      <c r="P397" s="1403">
        <f t="shared" si="54"/>
        <v>1683.0000000000002</v>
      </c>
      <c r="Q397" s="1403">
        <v>1683.0000000000002</v>
      </c>
      <c r="R397" s="25"/>
    </row>
    <row r="398" spans="1:18" ht="17.25">
      <c r="A398" s="608">
        <f t="shared" si="52"/>
        <v>36.189999999999962</v>
      </c>
      <c r="B398" s="312" t="s">
        <v>597</v>
      </c>
      <c r="C398" s="52" t="s">
        <v>519</v>
      </c>
      <c r="D398" s="25"/>
      <c r="E398" s="1424"/>
      <c r="F398" s="1424"/>
      <c r="G398" s="1424"/>
      <c r="H398" s="1424">
        <v>1630</v>
      </c>
      <c r="I398" s="1405">
        <v>1630</v>
      </c>
      <c r="J398" s="1405">
        <f t="shared" si="53"/>
        <v>1630</v>
      </c>
      <c r="K398" s="1405">
        <f t="shared" si="53"/>
        <v>1630</v>
      </c>
      <c r="L398" s="1405">
        <f t="shared" si="53"/>
        <v>1630</v>
      </c>
      <c r="M398" s="1405">
        <f t="shared" si="55"/>
        <v>1793.0000000000002</v>
      </c>
      <c r="N398" s="1403">
        <f t="shared" si="54"/>
        <v>1793.0000000000002</v>
      </c>
      <c r="O398" s="1403">
        <f t="shared" si="54"/>
        <v>1793.0000000000002</v>
      </c>
      <c r="P398" s="1403">
        <f t="shared" si="54"/>
        <v>1793.0000000000002</v>
      </c>
      <c r="Q398" s="1403">
        <v>1793.0000000000002</v>
      </c>
      <c r="R398" s="25"/>
    </row>
    <row r="399" spans="1:18" ht="17.25">
      <c r="A399" s="608">
        <f t="shared" si="52"/>
        <v>36.19999999999996</v>
      </c>
      <c r="B399" s="312" t="s">
        <v>601</v>
      </c>
      <c r="C399" s="52" t="s">
        <v>519</v>
      </c>
      <c r="D399" s="25"/>
      <c r="E399" s="1424"/>
      <c r="F399" s="1424"/>
      <c r="G399" s="1424"/>
      <c r="H399" s="1424">
        <v>1800</v>
      </c>
      <c r="I399" s="1405">
        <v>1800</v>
      </c>
      <c r="J399" s="1405">
        <f t="shared" si="53"/>
        <v>1800</v>
      </c>
      <c r="K399" s="1405">
        <f t="shared" si="53"/>
        <v>1800</v>
      </c>
      <c r="L399" s="1405">
        <f t="shared" si="53"/>
        <v>1800</v>
      </c>
      <c r="M399" s="1405">
        <f t="shared" si="55"/>
        <v>1980.0000000000002</v>
      </c>
      <c r="N399" s="1403">
        <f t="shared" si="54"/>
        <v>1980.0000000000002</v>
      </c>
      <c r="O399" s="1403">
        <f t="shared" si="54"/>
        <v>1980.0000000000002</v>
      </c>
      <c r="P399" s="1403">
        <f t="shared" si="54"/>
        <v>1980.0000000000002</v>
      </c>
      <c r="Q399" s="1403">
        <v>1980.0000000000002</v>
      </c>
      <c r="R399" s="25"/>
    </row>
    <row r="400" spans="1:18" ht="17.25">
      <c r="A400" s="608">
        <f t="shared" si="52"/>
        <v>36.209999999999958</v>
      </c>
      <c r="B400" s="312" t="s">
        <v>602</v>
      </c>
      <c r="C400" s="52" t="s">
        <v>519</v>
      </c>
      <c r="D400" s="25"/>
      <c r="E400" s="1424"/>
      <c r="F400" s="1424"/>
      <c r="G400" s="1424"/>
      <c r="H400" s="1424">
        <v>1920</v>
      </c>
      <c r="I400" s="1405">
        <v>1920</v>
      </c>
      <c r="J400" s="1405">
        <f t="shared" si="53"/>
        <v>1920</v>
      </c>
      <c r="K400" s="1405">
        <f t="shared" si="53"/>
        <v>1920</v>
      </c>
      <c r="L400" s="1405">
        <f t="shared" si="53"/>
        <v>1920</v>
      </c>
      <c r="M400" s="1405">
        <f t="shared" si="55"/>
        <v>2112</v>
      </c>
      <c r="N400" s="1403">
        <f t="shared" si="54"/>
        <v>2112</v>
      </c>
      <c r="O400" s="1403">
        <f t="shared" si="54"/>
        <v>2112</v>
      </c>
      <c r="P400" s="1403">
        <f t="shared" si="54"/>
        <v>2112</v>
      </c>
      <c r="Q400" s="1403">
        <v>2112</v>
      </c>
      <c r="R400" s="25"/>
    </row>
    <row r="401" spans="1:18" ht="17.25">
      <c r="A401" s="608">
        <f t="shared" si="52"/>
        <v>36.219999999999956</v>
      </c>
      <c r="B401" s="312" t="s">
        <v>603</v>
      </c>
      <c r="C401" s="52" t="s">
        <v>519</v>
      </c>
      <c r="D401" s="25"/>
      <c r="E401" s="1424"/>
      <c r="F401" s="1424"/>
      <c r="G401" s="1424"/>
      <c r="H401" s="1424">
        <v>2000</v>
      </c>
      <c r="I401" s="1405">
        <v>2000</v>
      </c>
      <c r="J401" s="1405">
        <f t="shared" si="53"/>
        <v>2000</v>
      </c>
      <c r="K401" s="1405">
        <f t="shared" si="53"/>
        <v>2000</v>
      </c>
      <c r="L401" s="1405">
        <f t="shared" si="53"/>
        <v>2000</v>
      </c>
      <c r="M401" s="1405">
        <f t="shared" si="55"/>
        <v>2200</v>
      </c>
      <c r="N401" s="1403">
        <f t="shared" si="54"/>
        <v>2200</v>
      </c>
      <c r="O401" s="1403">
        <f t="shared" si="54"/>
        <v>2200</v>
      </c>
      <c r="P401" s="1403">
        <f t="shared" si="54"/>
        <v>2200</v>
      </c>
      <c r="Q401" s="1403">
        <v>2200</v>
      </c>
      <c r="R401" s="25"/>
    </row>
    <row r="402" spans="1:18" ht="17.25">
      <c r="A402" s="608">
        <f t="shared" si="52"/>
        <v>36.229999999999954</v>
      </c>
      <c r="B402" s="312" t="s">
        <v>604</v>
      </c>
      <c r="C402" s="52" t="s">
        <v>519</v>
      </c>
      <c r="D402" s="25"/>
      <c r="E402" s="1424"/>
      <c r="F402" s="1424"/>
      <c r="G402" s="1424"/>
      <c r="H402" s="1424">
        <v>2110</v>
      </c>
      <c r="I402" s="1405">
        <v>2110</v>
      </c>
      <c r="J402" s="1405">
        <f t="shared" si="53"/>
        <v>2110</v>
      </c>
      <c r="K402" s="1405">
        <f t="shared" si="53"/>
        <v>2110</v>
      </c>
      <c r="L402" s="1405">
        <f t="shared" si="53"/>
        <v>2110</v>
      </c>
      <c r="M402" s="1405">
        <f t="shared" si="55"/>
        <v>2321</v>
      </c>
      <c r="N402" s="1403">
        <f t="shared" si="54"/>
        <v>2321</v>
      </c>
      <c r="O402" s="1403">
        <f t="shared" si="54"/>
        <v>2321</v>
      </c>
      <c r="P402" s="1403">
        <f t="shared" si="54"/>
        <v>2321</v>
      </c>
      <c r="Q402" s="1403">
        <v>2321</v>
      </c>
      <c r="R402" s="25"/>
    </row>
    <row r="403" spans="1:18" ht="17.25">
      <c r="A403" s="608">
        <f t="shared" si="52"/>
        <v>36.239999999999952</v>
      </c>
      <c r="B403" s="312" t="s">
        <v>608</v>
      </c>
      <c r="C403" s="52" t="s">
        <v>519</v>
      </c>
      <c r="D403" s="25"/>
      <c r="E403" s="1424"/>
      <c r="F403" s="1424"/>
      <c r="G403" s="1424"/>
      <c r="H403" s="1424">
        <v>2580</v>
      </c>
      <c r="I403" s="1405">
        <v>2580</v>
      </c>
      <c r="J403" s="1405">
        <f t="shared" si="53"/>
        <v>2580</v>
      </c>
      <c r="K403" s="1405">
        <f t="shared" si="53"/>
        <v>2580</v>
      </c>
      <c r="L403" s="1405">
        <f t="shared" si="53"/>
        <v>2580</v>
      </c>
      <c r="M403" s="1405">
        <f t="shared" si="55"/>
        <v>2838.0000000000005</v>
      </c>
      <c r="N403" s="1403">
        <f t="shared" si="54"/>
        <v>2838.0000000000005</v>
      </c>
      <c r="O403" s="1403">
        <f t="shared" si="54"/>
        <v>2838.0000000000005</v>
      </c>
      <c r="P403" s="1403">
        <f t="shared" si="54"/>
        <v>2838.0000000000005</v>
      </c>
      <c r="Q403" s="1403">
        <v>2838.0000000000005</v>
      </c>
      <c r="R403" s="25"/>
    </row>
    <row r="404" spans="1:18" ht="17.25">
      <c r="A404" s="608">
        <f t="shared" si="52"/>
        <v>36.24999999999995</v>
      </c>
      <c r="B404" s="312" t="s">
        <v>609</v>
      </c>
      <c r="C404" s="52" t="s">
        <v>519</v>
      </c>
      <c r="D404" s="25"/>
      <c r="E404" s="1424"/>
      <c r="F404" s="1424"/>
      <c r="G404" s="1424"/>
      <c r="H404" s="1424">
        <v>2160</v>
      </c>
      <c r="I404" s="1405">
        <v>2160</v>
      </c>
      <c r="J404" s="1405">
        <f t="shared" si="53"/>
        <v>2160</v>
      </c>
      <c r="K404" s="1405">
        <f t="shared" si="53"/>
        <v>2160</v>
      </c>
      <c r="L404" s="1405">
        <f t="shared" si="53"/>
        <v>2160</v>
      </c>
      <c r="M404" s="1405">
        <f t="shared" si="55"/>
        <v>2376</v>
      </c>
      <c r="N404" s="1403">
        <f t="shared" si="54"/>
        <v>2376</v>
      </c>
      <c r="O404" s="1403">
        <f t="shared" si="54"/>
        <v>2376</v>
      </c>
      <c r="P404" s="1403">
        <f t="shared" si="54"/>
        <v>2376</v>
      </c>
      <c r="Q404" s="1403">
        <v>2376</v>
      </c>
      <c r="R404" s="25"/>
    </row>
    <row r="405" spans="1:18" ht="17.25">
      <c r="A405" s="608">
        <f t="shared" si="52"/>
        <v>36.259999999999948</v>
      </c>
      <c r="B405" s="312" t="s">
        <v>610</v>
      </c>
      <c r="C405" s="52" t="s">
        <v>519</v>
      </c>
      <c r="D405" s="25"/>
      <c r="E405" s="1424"/>
      <c r="F405" s="1424"/>
      <c r="G405" s="1424"/>
      <c r="H405" s="1424">
        <v>2700</v>
      </c>
      <c r="I405" s="1405">
        <v>2700</v>
      </c>
      <c r="J405" s="1405">
        <f t="shared" si="53"/>
        <v>2700</v>
      </c>
      <c r="K405" s="1405">
        <f t="shared" si="53"/>
        <v>2700</v>
      </c>
      <c r="L405" s="1405">
        <f t="shared" si="53"/>
        <v>2700</v>
      </c>
      <c r="M405" s="1405">
        <f t="shared" si="55"/>
        <v>2970.0000000000005</v>
      </c>
      <c r="N405" s="1403">
        <f t="shared" si="54"/>
        <v>2970.0000000000005</v>
      </c>
      <c r="O405" s="1403">
        <f t="shared" si="54"/>
        <v>2970.0000000000005</v>
      </c>
      <c r="P405" s="1403">
        <f t="shared" si="54"/>
        <v>2970.0000000000005</v>
      </c>
      <c r="Q405" s="1403">
        <v>2970.0000000000005</v>
      </c>
      <c r="R405" s="25"/>
    </row>
    <row r="406" spans="1:18" ht="17.25">
      <c r="A406" s="608">
        <f t="shared" si="52"/>
        <v>36.269999999999946</v>
      </c>
      <c r="B406" s="312" t="s">
        <v>611</v>
      </c>
      <c r="C406" s="52" t="s">
        <v>519</v>
      </c>
      <c r="D406" s="25"/>
      <c r="E406" s="1424"/>
      <c r="F406" s="1424"/>
      <c r="G406" s="1424"/>
      <c r="H406" s="1424">
        <v>2800</v>
      </c>
      <c r="I406" s="1405">
        <v>2800</v>
      </c>
      <c r="J406" s="1405">
        <f t="shared" si="53"/>
        <v>2800</v>
      </c>
      <c r="K406" s="1405">
        <f t="shared" si="53"/>
        <v>2800</v>
      </c>
      <c r="L406" s="1405">
        <f t="shared" si="53"/>
        <v>2800</v>
      </c>
      <c r="M406" s="1405">
        <f t="shared" si="55"/>
        <v>3080.0000000000005</v>
      </c>
      <c r="N406" s="1403">
        <f t="shared" si="54"/>
        <v>3080.0000000000005</v>
      </c>
      <c r="O406" s="1403">
        <f t="shared" si="54"/>
        <v>3080.0000000000005</v>
      </c>
      <c r="P406" s="1403">
        <f t="shared" si="54"/>
        <v>3080.0000000000005</v>
      </c>
      <c r="Q406" s="1403">
        <v>3080.0000000000005</v>
      </c>
      <c r="R406" s="25"/>
    </row>
    <row r="407" spans="1:18" ht="17.25">
      <c r="A407" s="608">
        <f t="shared" si="52"/>
        <v>36.279999999999944</v>
      </c>
      <c r="B407" s="312" t="s">
        <v>667</v>
      </c>
      <c r="C407" s="52" t="s">
        <v>519</v>
      </c>
      <c r="D407" s="25"/>
      <c r="E407" s="1424"/>
      <c r="F407" s="1424"/>
      <c r="G407" s="1424"/>
      <c r="H407" s="1424">
        <v>2840</v>
      </c>
      <c r="I407" s="1405">
        <v>2840</v>
      </c>
      <c r="J407" s="1405">
        <f t="shared" si="53"/>
        <v>2840</v>
      </c>
      <c r="K407" s="1405">
        <f t="shared" si="53"/>
        <v>2840</v>
      </c>
      <c r="L407" s="1405">
        <f t="shared" si="53"/>
        <v>2840</v>
      </c>
      <c r="M407" s="1405">
        <f t="shared" si="55"/>
        <v>3124.0000000000005</v>
      </c>
      <c r="N407" s="1403">
        <f t="shared" si="54"/>
        <v>3124.0000000000005</v>
      </c>
      <c r="O407" s="1403">
        <f t="shared" si="54"/>
        <v>3124.0000000000005</v>
      </c>
      <c r="P407" s="1403">
        <f t="shared" si="54"/>
        <v>3124.0000000000005</v>
      </c>
      <c r="Q407" s="1403">
        <v>3124.0000000000005</v>
      </c>
      <c r="R407" s="25"/>
    </row>
    <row r="408" spans="1:18" ht="17.25">
      <c r="A408" s="608">
        <f t="shared" si="52"/>
        <v>36.289999999999942</v>
      </c>
      <c r="B408" s="312" t="s">
        <v>616</v>
      </c>
      <c r="C408" s="52" t="s">
        <v>519</v>
      </c>
      <c r="D408" s="25"/>
      <c r="E408" s="1424"/>
      <c r="F408" s="1424"/>
      <c r="G408" s="1424"/>
      <c r="H408" s="1424">
        <v>3340</v>
      </c>
      <c r="I408" s="1405">
        <v>3340</v>
      </c>
      <c r="J408" s="1405">
        <f t="shared" si="53"/>
        <v>3340</v>
      </c>
      <c r="K408" s="1405">
        <f t="shared" si="53"/>
        <v>3340</v>
      </c>
      <c r="L408" s="1405">
        <f t="shared" si="53"/>
        <v>3340</v>
      </c>
      <c r="M408" s="1405">
        <f t="shared" si="55"/>
        <v>3674.0000000000005</v>
      </c>
      <c r="N408" s="1403">
        <f t="shared" si="54"/>
        <v>3674.0000000000005</v>
      </c>
      <c r="O408" s="1403">
        <f t="shared" si="54"/>
        <v>3674.0000000000005</v>
      </c>
      <c r="P408" s="1403">
        <f t="shared" si="54"/>
        <v>3674.0000000000005</v>
      </c>
      <c r="Q408" s="1403">
        <v>3674.0000000000005</v>
      </c>
      <c r="R408" s="25"/>
    </row>
    <row r="409" spans="1:18" ht="17.25">
      <c r="A409" s="608">
        <f t="shared" si="52"/>
        <v>36.29999999999994</v>
      </c>
      <c r="B409" s="312" t="s">
        <v>617</v>
      </c>
      <c r="C409" s="52" t="s">
        <v>519</v>
      </c>
      <c r="D409" s="25"/>
      <c r="E409" s="1424"/>
      <c r="F409" s="1424"/>
      <c r="G409" s="1424"/>
      <c r="H409" s="1424">
        <v>3390</v>
      </c>
      <c r="I409" s="1405">
        <v>3390</v>
      </c>
      <c r="J409" s="1405">
        <f t="shared" si="53"/>
        <v>3390</v>
      </c>
      <c r="K409" s="1405">
        <f t="shared" si="53"/>
        <v>3390</v>
      </c>
      <c r="L409" s="1405">
        <f t="shared" si="53"/>
        <v>3390</v>
      </c>
      <c r="M409" s="1405">
        <f t="shared" si="55"/>
        <v>3729.0000000000005</v>
      </c>
      <c r="N409" s="1403">
        <f t="shared" si="54"/>
        <v>3729.0000000000005</v>
      </c>
      <c r="O409" s="1403">
        <f t="shared" si="54"/>
        <v>3729.0000000000005</v>
      </c>
      <c r="P409" s="1403">
        <f t="shared" si="54"/>
        <v>3729.0000000000005</v>
      </c>
      <c r="Q409" s="1403">
        <v>3729.0000000000005</v>
      </c>
      <c r="R409" s="25"/>
    </row>
    <row r="410" spans="1:18" ht="17.25">
      <c r="A410" s="608">
        <f t="shared" si="52"/>
        <v>36.309999999999938</v>
      </c>
      <c r="B410" s="312" t="s">
        <v>618</v>
      </c>
      <c r="C410" s="52" t="s">
        <v>519</v>
      </c>
      <c r="D410" s="25"/>
      <c r="E410" s="1424"/>
      <c r="F410" s="1424"/>
      <c r="G410" s="1424"/>
      <c r="H410" s="1424">
        <v>3680</v>
      </c>
      <c r="I410" s="1405">
        <v>3680</v>
      </c>
      <c r="J410" s="1405">
        <f t="shared" si="53"/>
        <v>3680</v>
      </c>
      <c r="K410" s="1405">
        <f t="shared" si="53"/>
        <v>3680</v>
      </c>
      <c r="L410" s="1405">
        <f t="shared" si="53"/>
        <v>3680</v>
      </c>
      <c r="M410" s="1405">
        <f t="shared" si="55"/>
        <v>4048.0000000000005</v>
      </c>
      <c r="N410" s="1403">
        <f t="shared" si="54"/>
        <v>4048.0000000000005</v>
      </c>
      <c r="O410" s="1403">
        <f t="shared" si="54"/>
        <v>4048.0000000000005</v>
      </c>
      <c r="P410" s="1403">
        <f t="shared" si="54"/>
        <v>4048.0000000000005</v>
      </c>
      <c r="Q410" s="1403">
        <v>4048.0000000000005</v>
      </c>
      <c r="R410" s="25"/>
    </row>
    <row r="411" spans="1:18" ht="17.25">
      <c r="A411" s="608">
        <f t="shared" si="52"/>
        <v>36.319999999999936</v>
      </c>
      <c r="B411" s="312" t="s">
        <v>668</v>
      </c>
      <c r="C411" s="52" t="s">
        <v>519</v>
      </c>
      <c r="D411" s="25"/>
      <c r="E411" s="1424"/>
      <c r="F411" s="1424"/>
      <c r="G411" s="1424"/>
      <c r="H411" s="1424">
        <v>3700</v>
      </c>
      <c r="I411" s="1405">
        <v>3700</v>
      </c>
      <c r="J411" s="1405">
        <f t="shared" si="53"/>
        <v>3700</v>
      </c>
      <c r="K411" s="1405">
        <f t="shared" si="53"/>
        <v>3700</v>
      </c>
      <c r="L411" s="1405">
        <f t="shared" si="53"/>
        <v>3700</v>
      </c>
      <c r="M411" s="1405">
        <f t="shared" si="55"/>
        <v>4070.0000000000005</v>
      </c>
      <c r="N411" s="1403">
        <f t="shared" si="54"/>
        <v>4070.0000000000005</v>
      </c>
      <c r="O411" s="1403">
        <f t="shared" si="54"/>
        <v>4070.0000000000005</v>
      </c>
      <c r="P411" s="1403">
        <f t="shared" si="54"/>
        <v>4070.0000000000005</v>
      </c>
      <c r="Q411" s="1403">
        <v>4070.0000000000005</v>
      </c>
      <c r="R411" s="25"/>
    </row>
    <row r="412" spans="1:18" ht="17.25">
      <c r="A412" s="608">
        <f t="shared" si="52"/>
        <v>36.329999999999934</v>
      </c>
      <c r="B412" s="312" t="s">
        <v>669</v>
      </c>
      <c r="C412" s="52" t="s">
        <v>519</v>
      </c>
      <c r="D412" s="25"/>
      <c r="E412" s="1424"/>
      <c r="F412" s="1424"/>
      <c r="G412" s="1424"/>
      <c r="H412" s="1424">
        <v>3720</v>
      </c>
      <c r="I412" s="1405">
        <v>3720</v>
      </c>
      <c r="J412" s="1405">
        <f t="shared" si="53"/>
        <v>3720</v>
      </c>
      <c r="K412" s="1405">
        <f t="shared" si="53"/>
        <v>3720</v>
      </c>
      <c r="L412" s="1405">
        <f t="shared" si="53"/>
        <v>3720</v>
      </c>
      <c r="M412" s="1405">
        <f t="shared" si="55"/>
        <v>4092.0000000000005</v>
      </c>
      <c r="N412" s="1403">
        <f t="shared" si="54"/>
        <v>4092.0000000000005</v>
      </c>
      <c r="O412" s="1403">
        <f t="shared" si="54"/>
        <v>4092.0000000000005</v>
      </c>
      <c r="P412" s="1403">
        <f t="shared" si="54"/>
        <v>4092.0000000000005</v>
      </c>
      <c r="Q412" s="1403">
        <v>4092.0000000000005</v>
      </c>
      <c r="R412" s="25"/>
    </row>
    <row r="413" spans="1:18" ht="17.25">
      <c r="A413" s="608">
        <f t="shared" si="52"/>
        <v>36.339999999999932</v>
      </c>
      <c r="B413" s="312" t="s">
        <v>624</v>
      </c>
      <c r="C413" s="52" t="s">
        <v>519</v>
      </c>
      <c r="D413" s="25"/>
      <c r="E413" s="1424"/>
      <c r="F413" s="1424"/>
      <c r="G413" s="1424"/>
      <c r="H413" s="1424">
        <v>4570</v>
      </c>
      <c r="I413" s="1405">
        <v>4570</v>
      </c>
      <c r="J413" s="1405">
        <f t="shared" si="53"/>
        <v>4570</v>
      </c>
      <c r="K413" s="1405">
        <f t="shared" si="53"/>
        <v>4570</v>
      </c>
      <c r="L413" s="1405">
        <f t="shared" si="53"/>
        <v>4570</v>
      </c>
      <c r="M413" s="1405">
        <f t="shared" si="55"/>
        <v>5027</v>
      </c>
      <c r="N413" s="1403">
        <f t="shared" si="54"/>
        <v>5027</v>
      </c>
      <c r="O413" s="1403">
        <f t="shared" si="54"/>
        <v>5027</v>
      </c>
      <c r="P413" s="1403">
        <f t="shared" si="54"/>
        <v>5027</v>
      </c>
      <c r="Q413" s="1403">
        <v>5027</v>
      </c>
      <c r="R413" s="25"/>
    </row>
    <row r="414" spans="1:18" ht="17.25">
      <c r="A414" s="608">
        <f t="shared" si="52"/>
        <v>36.34999999999993</v>
      </c>
      <c r="B414" s="312" t="s">
        <v>625</v>
      </c>
      <c r="C414" s="52" t="s">
        <v>519</v>
      </c>
      <c r="D414" s="25"/>
      <c r="E414" s="1424"/>
      <c r="F414" s="1424"/>
      <c r="G414" s="1424"/>
      <c r="H414" s="1424">
        <v>4720</v>
      </c>
      <c r="I414" s="1405">
        <v>4720</v>
      </c>
      <c r="J414" s="1405">
        <f t="shared" si="53"/>
        <v>4720</v>
      </c>
      <c r="K414" s="1405">
        <f t="shared" si="53"/>
        <v>4720</v>
      </c>
      <c r="L414" s="1405">
        <f t="shared" si="53"/>
        <v>4720</v>
      </c>
      <c r="M414" s="1405">
        <f t="shared" si="55"/>
        <v>5192</v>
      </c>
      <c r="N414" s="1403">
        <f t="shared" si="54"/>
        <v>5192</v>
      </c>
      <c r="O414" s="1403">
        <f t="shared" si="54"/>
        <v>5192</v>
      </c>
      <c r="P414" s="1403">
        <f t="shared" si="54"/>
        <v>5192</v>
      </c>
      <c r="Q414" s="1403">
        <v>5192</v>
      </c>
      <c r="R414" s="25"/>
    </row>
    <row r="415" spans="1:18" ht="17.25">
      <c r="A415" s="608">
        <f t="shared" si="52"/>
        <v>36.359999999999928</v>
      </c>
      <c r="B415" s="312" t="s">
        <v>670</v>
      </c>
      <c r="C415" s="52" t="s">
        <v>519</v>
      </c>
      <c r="D415" s="25"/>
      <c r="E415" s="1424"/>
      <c r="F415" s="1424"/>
      <c r="G415" s="1424"/>
      <c r="H415" s="1424">
        <v>4820</v>
      </c>
      <c r="I415" s="1405">
        <v>4820</v>
      </c>
      <c r="J415" s="1405">
        <f t="shared" si="53"/>
        <v>4820</v>
      </c>
      <c r="K415" s="1405">
        <f t="shared" si="53"/>
        <v>4820</v>
      </c>
      <c r="L415" s="1405">
        <f t="shared" si="53"/>
        <v>4820</v>
      </c>
      <c r="M415" s="1405">
        <f t="shared" si="55"/>
        <v>5302</v>
      </c>
      <c r="N415" s="1403">
        <f t="shared" si="54"/>
        <v>5302</v>
      </c>
      <c r="O415" s="1403">
        <f t="shared" si="54"/>
        <v>5302</v>
      </c>
      <c r="P415" s="1403">
        <f t="shared" si="54"/>
        <v>5302</v>
      </c>
      <c r="Q415" s="1403">
        <v>5302</v>
      </c>
      <c r="R415" s="25"/>
    </row>
    <row r="416" spans="1:18" ht="17.25">
      <c r="A416" s="608">
        <f t="shared" si="52"/>
        <v>36.369999999999926</v>
      </c>
      <c r="B416" s="312" t="s">
        <v>671</v>
      </c>
      <c r="C416" s="52" t="s">
        <v>519</v>
      </c>
      <c r="D416" s="25"/>
      <c r="E416" s="1424"/>
      <c r="F416" s="1424"/>
      <c r="G416" s="1424"/>
      <c r="H416" s="1424">
        <v>4850</v>
      </c>
      <c r="I416" s="1405">
        <v>4850</v>
      </c>
      <c r="J416" s="1405">
        <f t="shared" si="53"/>
        <v>4850</v>
      </c>
      <c r="K416" s="1405">
        <f t="shared" si="53"/>
        <v>4850</v>
      </c>
      <c r="L416" s="1405">
        <f t="shared" si="53"/>
        <v>4850</v>
      </c>
      <c r="M416" s="1405">
        <f t="shared" si="55"/>
        <v>5335</v>
      </c>
      <c r="N416" s="1403">
        <f t="shared" si="54"/>
        <v>5335</v>
      </c>
      <c r="O416" s="1403">
        <f t="shared" si="54"/>
        <v>5335</v>
      </c>
      <c r="P416" s="1403">
        <f t="shared" si="54"/>
        <v>5335</v>
      </c>
      <c r="Q416" s="1403">
        <v>5335</v>
      </c>
      <c r="R416" s="25"/>
    </row>
    <row r="417" spans="1:18" ht="17.25">
      <c r="A417" s="608">
        <f t="shared" si="52"/>
        <v>36.379999999999924</v>
      </c>
      <c r="B417" s="312" t="s">
        <v>672</v>
      </c>
      <c r="C417" s="52" t="s">
        <v>519</v>
      </c>
      <c r="D417" s="25"/>
      <c r="E417" s="1424"/>
      <c r="F417" s="1424"/>
      <c r="G417" s="1424"/>
      <c r="H417" s="1424">
        <v>4980</v>
      </c>
      <c r="I417" s="1405">
        <v>4980</v>
      </c>
      <c r="J417" s="1405">
        <f t="shared" si="53"/>
        <v>4980</v>
      </c>
      <c r="K417" s="1405">
        <f t="shared" si="53"/>
        <v>4980</v>
      </c>
      <c r="L417" s="1405">
        <f t="shared" si="53"/>
        <v>4980</v>
      </c>
      <c r="M417" s="1405">
        <f t="shared" si="55"/>
        <v>5478</v>
      </c>
      <c r="N417" s="1403">
        <f t="shared" si="54"/>
        <v>5478</v>
      </c>
      <c r="O417" s="1403">
        <f t="shared" si="54"/>
        <v>5478</v>
      </c>
      <c r="P417" s="1403">
        <f t="shared" si="54"/>
        <v>5478</v>
      </c>
      <c r="Q417" s="1403">
        <v>5478</v>
      </c>
      <c r="R417" s="25"/>
    </row>
    <row r="418" spans="1:18" ht="17.25">
      <c r="A418" s="608">
        <f t="shared" si="52"/>
        <v>36.389999999999922</v>
      </c>
      <c r="B418" s="312" t="s">
        <v>630</v>
      </c>
      <c r="C418" s="52" t="s">
        <v>519</v>
      </c>
      <c r="D418" s="25"/>
      <c r="E418" s="1424"/>
      <c r="F418" s="1424"/>
      <c r="G418" s="1424"/>
      <c r="H418" s="1424">
        <v>5770</v>
      </c>
      <c r="I418" s="1405">
        <v>5770</v>
      </c>
      <c r="J418" s="1405">
        <f t="shared" si="53"/>
        <v>5770</v>
      </c>
      <c r="K418" s="1405">
        <f t="shared" si="53"/>
        <v>5770</v>
      </c>
      <c r="L418" s="1405">
        <f t="shared" si="53"/>
        <v>5770</v>
      </c>
      <c r="M418" s="1405">
        <f t="shared" si="55"/>
        <v>6347.0000000000009</v>
      </c>
      <c r="N418" s="1403">
        <f t="shared" si="54"/>
        <v>6347.0000000000009</v>
      </c>
      <c r="O418" s="1403">
        <f t="shared" si="54"/>
        <v>6347.0000000000009</v>
      </c>
      <c r="P418" s="1403">
        <f t="shared" si="54"/>
        <v>6347.0000000000009</v>
      </c>
      <c r="Q418" s="1403">
        <v>6347.0000000000009</v>
      </c>
      <c r="R418" s="25"/>
    </row>
    <row r="419" spans="1:18" ht="17.25">
      <c r="A419" s="608">
        <f t="shared" si="52"/>
        <v>36.39999999999992</v>
      </c>
      <c r="B419" s="312" t="s">
        <v>631</v>
      </c>
      <c r="C419" s="52" t="s">
        <v>519</v>
      </c>
      <c r="D419" s="25"/>
      <c r="E419" s="1424"/>
      <c r="F419" s="1424"/>
      <c r="G419" s="1424"/>
      <c r="H419" s="1424">
        <v>6260</v>
      </c>
      <c r="I419" s="1405">
        <v>6260</v>
      </c>
      <c r="J419" s="1405">
        <f t="shared" si="53"/>
        <v>6260</v>
      </c>
      <c r="K419" s="1405">
        <f t="shared" si="53"/>
        <v>6260</v>
      </c>
      <c r="L419" s="1405">
        <f t="shared" si="53"/>
        <v>6260</v>
      </c>
      <c r="M419" s="1405">
        <f t="shared" si="55"/>
        <v>6886.0000000000009</v>
      </c>
      <c r="N419" s="1403">
        <f t="shared" si="54"/>
        <v>6886.0000000000009</v>
      </c>
      <c r="O419" s="1403">
        <f t="shared" si="54"/>
        <v>6886.0000000000009</v>
      </c>
      <c r="P419" s="1403">
        <f t="shared" si="54"/>
        <v>6886.0000000000009</v>
      </c>
      <c r="Q419" s="1403">
        <v>6886.0000000000009</v>
      </c>
      <c r="R419" s="25"/>
    </row>
    <row r="420" spans="1:18" ht="17.25">
      <c r="A420" s="608">
        <f t="shared" si="52"/>
        <v>36.409999999999918</v>
      </c>
      <c r="B420" s="312" t="s">
        <v>632</v>
      </c>
      <c r="C420" s="52" t="s">
        <v>519</v>
      </c>
      <c r="D420" s="25"/>
      <c r="E420" s="1424"/>
      <c r="F420" s="1424"/>
      <c r="G420" s="1424"/>
      <c r="H420" s="1424">
        <v>6610</v>
      </c>
      <c r="I420" s="1405">
        <v>6610</v>
      </c>
      <c r="J420" s="1405">
        <f t="shared" si="53"/>
        <v>6610</v>
      </c>
      <c r="K420" s="1405">
        <f t="shared" si="53"/>
        <v>6610</v>
      </c>
      <c r="L420" s="1405">
        <f t="shared" si="53"/>
        <v>6610</v>
      </c>
      <c r="M420" s="1405">
        <f t="shared" si="55"/>
        <v>7271.0000000000009</v>
      </c>
      <c r="N420" s="1403">
        <f t="shared" si="54"/>
        <v>7271.0000000000009</v>
      </c>
      <c r="O420" s="1403">
        <f t="shared" si="54"/>
        <v>7271.0000000000009</v>
      </c>
      <c r="P420" s="1403">
        <f t="shared" si="54"/>
        <v>7271.0000000000009</v>
      </c>
      <c r="Q420" s="1403">
        <v>7271.0000000000009</v>
      </c>
      <c r="R420" s="25"/>
    </row>
    <row r="421" spans="1:18" ht="17.25">
      <c r="A421" s="608">
        <f t="shared" si="52"/>
        <v>36.419999999999916</v>
      </c>
      <c r="B421" s="312" t="s">
        <v>673</v>
      </c>
      <c r="C421" s="52" t="s">
        <v>519</v>
      </c>
      <c r="D421" s="25"/>
      <c r="E421" s="1424"/>
      <c r="F421" s="1424"/>
      <c r="G421" s="1424"/>
      <c r="H421" s="1424">
        <v>6650</v>
      </c>
      <c r="I421" s="1405">
        <v>6650</v>
      </c>
      <c r="J421" s="1405">
        <f t="shared" si="53"/>
        <v>6650</v>
      </c>
      <c r="K421" s="1405">
        <f t="shared" si="53"/>
        <v>6650</v>
      </c>
      <c r="L421" s="1405">
        <f t="shared" si="53"/>
        <v>6650</v>
      </c>
      <c r="M421" s="1405">
        <f t="shared" si="55"/>
        <v>7315.0000000000009</v>
      </c>
      <c r="N421" s="1403">
        <f t="shared" si="54"/>
        <v>7315.0000000000009</v>
      </c>
      <c r="O421" s="1403">
        <f t="shared" si="54"/>
        <v>7315.0000000000009</v>
      </c>
      <c r="P421" s="1403">
        <f t="shared" si="54"/>
        <v>7315.0000000000009</v>
      </c>
      <c r="Q421" s="1403">
        <v>7315.0000000000009</v>
      </c>
      <c r="R421" s="25"/>
    </row>
    <row r="422" spans="1:18" ht="17.25">
      <c r="A422" s="608">
        <f t="shared" si="52"/>
        <v>36.429999999999914</v>
      </c>
      <c r="B422" s="312" t="s">
        <v>674</v>
      </c>
      <c r="C422" s="52" t="s">
        <v>519</v>
      </c>
      <c r="D422" s="25"/>
      <c r="E422" s="1424"/>
      <c r="F422" s="1424"/>
      <c r="G422" s="1424"/>
      <c r="H422" s="1424">
        <v>6670</v>
      </c>
      <c r="I422" s="1405">
        <v>6670</v>
      </c>
      <c r="J422" s="1405">
        <f t="shared" si="53"/>
        <v>6670</v>
      </c>
      <c r="K422" s="1405">
        <f t="shared" si="53"/>
        <v>6670</v>
      </c>
      <c r="L422" s="1405">
        <f t="shared" si="53"/>
        <v>6670</v>
      </c>
      <c r="M422" s="1405">
        <f t="shared" si="55"/>
        <v>7337.0000000000009</v>
      </c>
      <c r="N422" s="1403">
        <f t="shared" si="54"/>
        <v>7337.0000000000009</v>
      </c>
      <c r="O422" s="1403">
        <f t="shared" si="54"/>
        <v>7337.0000000000009</v>
      </c>
      <c r="P422" s="1403">
        <f t="shared" si="54"/>
        <v>7337.0000000000009</v>
      </c>
      <c r="Q422" s="1403">
        <v>7337.0000000000009</v>
      </c>
      <c r="R422" s="25"/>
    </row>
    <row r="423" spans="1:18" ht="17.25">
      <c r="A423" s="608">
        <f t="shared" si="52"/>
        <v>36.439999999999912</v>
      </c>
      <c r="B423" s="312" t="s">
        <v>675</v>
      </c>
      <c r="C423" s="52" t="s">
        <v>519</v>
      </c>
      <c r="D423" s="25"/>
      <c r="E423" s="1424"/>
      <c r="F423" s="1424"/>
      <c r="G423" s="1424"/>
      <c r="H423" s="1424">
        <v>6770</v>
      </c>
      <c r="I423" s="1405">
        <v>6770</v>
      </c>
      <c r="J423" s="1405">
        <f t="shared" si="53"/>
        <v>6770</v>
      </c>
      <c r="K423" s="1405">
        <f t="shared" si="53"/>
        <v>6770</v>
      </c>
      <c r="L423" s="1405">
        <f t="shared" si="53"/>
        <v>6770</v>
      </c>
      <c r="M423" s="1405">
        <f t="shared" si="55"/>
        <v>7447.0000000000009</v>
      </c>
      <c r="N423" s="1403">
        <f t="shared" si="54"/>
        <v>7447.0000000000009</v>
      </c>
      <c r="O423" s="1403">
        <f t="shared" si="54"/>
        <v>7447.0000000000009</v>
      </c>
      <c r="P423" s="1403">
        <f t="shared" si="54"/>
        <v>7447.0000000000009</v>
      </c>
      <c r="Q423" s="1403">
        <v>7447.0000000000009</v>
      </c>
      <c r="R423" s="25"/>
    </row>
    <row r="424" spans="1:18" ht="17.25">
      <c r="A424" s="608">
        <f t="shared" si="52"/>
        <v>36.44999999999991</v>
      </c>
      <c r="B424" s="312" t="s">
        <v>676</v>
      </c>
      <c r="C424" s="52" t="s">
        <v>519</v>
      </c>
      <c r="D424" s="25"/>
      <c r="E424" s="1424"/>
      <c r="F424" s="1424"/>
      <c r="G424" s="1424"/>
      <c r="H424" s="1424">
        <v>7050</v>
      </c>
      <c r="I424" s="1405">
        <v>7050</v>
      </c>
      <c r="J424" s="1405">
        <f t="shared" si="53"/>
        <v>7050</v>
      </c>
      <c r="K424" s="1405">
        <f t="shared" si="53"/>
        <v>7050</v>
      </c>
      <c r="L424" s="1405">
        <f t="shared" si="53"/>
        <v>7050</v>
      </c>
      <c r="M424" s="1405">
        <f t="shared" si="55"/>
        <v>7755.0000000000009</v>
      </c>
      <c r="N424" s="1403">
        <f t="shared" si="54"/>
        <v>7755.0000000000009</v>
      </c>
      <c r="O424" s="1403">
        <f t="shared" si="54"/>
        <v>7755.0000000000009</v>
      </c>
      <c r="P424" s="1403">
        <f t="shared" si="54"/>
        <v>7755.0000000000009</v>
      </c>
      <c r="Q424" s="1403">
        <v>7755.0000000000009</v>
      </c>
      <c r="R424" s="25"/>
    </row>
    <row r="425" spans="1:18" ht="15.75">
      <c r="A425" s="328">
        <v>37</v>
      </c>
      <c r="B425" s="398" t="s">
        <v>685</v>
      </c>
      <c r="C425" s="591"/>
      <c r="D425" s="330"/>
      <c r="E425" s="1425"/>
      <c r="F425" s="1425"/>
      <c r="G425" s="1425"/>
      <c r="H425" s="1425"/>
      <c r="I425" s="1408"/>
      <c r="J425" s="1408"/>
      <c r="K425" s="1408"/>
      <c r="L425" s="1408"/>
      <c r="M425" s="1408"/>
      <c r="N425" s="1407"/>
      <c r="O425" s="1407"/>
      <c r="P425" s="1407"/>
      <c r="Q425" s="1407"/>
      <c r="R425" s="330"/>
    </row>
    <row r="426" spans="1:18" ht="17.25">
      <c r="A426" s="608">
        <f>A425+0.01</f>
        <v>37.01</v>
      </c>
      <c r="B426" s="312" t="s">
        <v>404</v>
      </c>
      <c r="C426" s="52" t="s">
        <v>519</v>
      </c>
      <c r="D426" s="25"/>
      <c r="E426" s="1424"/>
      <c r="F426" s="1424"/>
      <c r="G426" s="1424"/>
      <c r="H426" s="1424">
        <v>180</v>
      </c>
      <c r="I426" s="1405">
        <v>180</v>
      </c>
      <c r="J426" s="1405">
        <f t="shared" si="53"/>
        <v>180</v>
      </c>
      <c r="K426" s="1405">
        <f t="shared" si="53"/>
        <v>180</v>
      </c>
      <c r="L426" s="1405">
        <f t="shared" si="53"/>
        <v>180</v>
      </c>
      <c r="M426" s="1405">
        <f t="shared" si="55"/>
        <v>198.00000000000003</v>
      </c>
      <c r="N426" s="1403">
        <f t="shared" si="54"/>
        <v>198.00000000000003</v>
      </c>
      <c r="O426" s="1403">
        <f t="shared" si="54"/>
        <v>198.00000000000003</v>
      </c>
      <c r="P426" s="1403">
        <f t="shared" si="54"/>
        <v>198.00000000000003</v>
      </c>
      <c r="Q426" s="1403">
        <v>198.00000000000003</v>
      </c>
      <c r="R426" s="25"/>
    </row>
    <row r="427" spans="1:18" ht="17.25">
      <c r="A427" s="608">
        <f t="shared" ref="A427:A439" si="56">A426+0.01</f>
        <v>37.019999999999996</v>
      </c>
      <c r="B427" s="312" t="s">
        <v>405</v>
      </c>
      <c r="C427" s="52" t="s">
        <v>519</v>
      </c>
      <c r="D427" s="25"/>
      <c r="E427" s="1424"/>
      <c r="F427" s="1424"/>
      <c r="G427" s="1424"/>
      <c r="H427" s="1424">
        <v>360</v>
      </c>
      <c r="I427" s="1405">
        <v>360</v>
      </c>
      <c r="J427" s="1405">
        <f t="shared" si="53"/>
        <v>360</v>
      </c>
      <c r="K427" s="1405">
        <f t="shared" si="53"/>
        <v>360</v>
      </c>
      <c r="L427" s="1405">
        <f t="shared" si="53"/>
        <v>360</v>
      </c>
      <c r="M427" s="1405">
        <f t="shared" si="55"/>
        <v>396.00000000000006</v>
      </c>
      <c r="N427" s="1403">
        <f t="shared" si="54"/>
        <v>396.00000000000006</v>
      </c>
      <c r="O427" s="1403">
        <f t="shared" si="54"/>
        <v>396.00000000000006</v>
      </c>
      <c r="P427" s="1403">
        <f t="shared" si="54"/>
        <v>396.00000000000006</v>
      </c>
      <c r="Q427" s="1403">
        <v>396.00000000000006</v>
      </c>
      <c r="R427" s="25"/>
    </row>
    <row r="428" spans="1:18" ht="17.25">
      <c r="A428" s="608">
        <f t="shared" si="56"/>
        <v>37.029999999999994</v>
      </c>
      <c r="B428" s="312" t="s">
        <v>406</v>
      </c>
      <c r="C428" s="52" t="s">
        <v>519</v>
      </c>
      <c r="D428" s="25"/>
      <c r="E428" s="1424"/>
      <c r="F428" s="1424"/>
      <c r="G428" s="1424"/>
      <c r="H428" s="1424">
        <v>560</v>
      </c>
      <c r="I428" s="1405">
        <v>560</v>
      </c>
      <c r="J428" s="1405">
        <f t="shared" si="53"/>
        <v>560</v>
      </c>
      <c r="K428" s="1405">
        <f t="shared" si="53"/>
        <v>560</v>
      </c>
      <c r="L428" s="1405">
        <f t="shared" si="53"/>
        <v>560</v>
      </c>
      <c r="M428" s="1405">
        <f t="shared" si="55"/>
        <v>616</v>
      </c>
      <c r="N428" s="1403">
        <f t="shared" si="54"/>
        <v>616</v>
      </c>
      <c r="O428" s="1403">
        <f t="shared" si="54"/>
        <v>616</v>
      </c>
      <c r="P428" s="1403">
        <f t="shared" si="54"/>
        <v>616</v>
      </c>
      <c r="Q428" s="1403">
        <v>616</v>
      </c>
      <c r="R428" s="25"/>
    </row>
    <row r="429" spans="1:18" ht="17.25">
      <c r="A429" s="608">
        <f t="shared" si="56"/>
        <v>37.039999999999992</v>
      </c>
      <c r="B429" s="312" t="s">
        <v>407</v>
      </c>
      <c r="C429" s="52" t="s">
        <v>519</v>
      </c>
      <c r="D429" s="25"/>
      <c r="E429" s="1424"/>
      <c r="F429" s="1424"/>
      <c r="G429" s="1424"/>
      <c r="H429" s="1424">
        <v>720</v>
      </c>
      <c r="I429" s="1405">
        <v>720</v>
      </c>
      <c r="J429" s="1405">
        <f t="shared" si="53"/>
        <v>720</v>
      </c>
      <c r="K429" s="1405">
        <f t="shared" si="53"/>
        <v>720</v>
      </c>
      <c r="L429" s="1405">
        <f t="shared" si="53"/>
        <v>720</v>
      </c>
      <c r="M429" s="1405">
        <f t="shared" si="55"/>
        <v>792.00000000000011</v>
      </c>
      <c r="N429" s="1403">
        <f t="shared" si="54"/>
        <v>792.00000000000011</v>
      </c>
      <c r="O429" s="1403">
        <f t="shared" si="54"/>
        <v>792.00000000000011</v>
      </c>
      <c r="P429" s="1403">
        <f t="shared" si="54"/>
        <v>792.00000000000011</v>
      </c>
      <c r="Q429" s="1403">
        <v>792.00000000000011</v>
      </c>
      <c r="R429" s="25"/>
    </row>
    <row r="430" spans="1:18" ht="17.25">
      <c r="A430" s="608">
        <f t="shared" si="56"/>
        <v>37.04999999999999</v>
      </c>
      <c r="B430" s="312" t="s">
        <v>408</v>
      </c>
      <c r="C430" s="52" t="s">
        <v>519</v>
      </c>
      <c r="D430" s="25"/>
      <c r="E430" s="1424"/>
      <c r="F430" s="1424"/>
      <c r="G430" s="1424"/>
      <c r="H430" s="1424">
        <v>1180</v>
      </c>
      <c r="I430" s="1405">
        <v>1180</v>
      </c>
      <c r="J430" s="1405">
        <f t="shared" si="53"/>
        <v>1180</v>
      </c>
      <c r="K430" s="1405">
        <f t="shared" si="53"/>
        <v>1180</v>
      </c>
      <c r="L430" s="1405">
        <f t="shared" si="53"/>
        <v>1180</v>
      </c>
      <c r="M430" s="1405">
        <f t="shared" si="55"/>
        <v>1298</v>
      </c>
      <c r="N430" s="1403">
        <f t="shared" si="54"/>
        <v>1298</v>
      </c>
      <c r="O430" s="1403">
        <f t="shared" si="54"/>
        <v>1298</v>
      </c>
      <c r="P430" s="1403">
        <f t="shared" si="54"/>
        <v>1298</v>
      </c>
      <c r="Q430" s="1403">
        <v>1298</v>
      </c>
      <c r="R430" s="25"/>
    </row>
    <row r="431" spans="1:18" ht="17.25">
      <c r="A431" s="608">
        <f t="shared" si="56"/>
        <v>37.059999999999988</v>
      </c>
      <c r="B431" s="312" t="s">
        <v>654</v>
      </c>
      <c r="C431" s="52" t="s">
        <v>519</v>
      </c>
      <c r="D431" s="25"/>
      <c r="E431" s="1424"/>
      <c r="F431" s="1424"/>
      <c r="G431" s="1424"/>
      <c r="H431" s="1424">
        <v>1390</v>
      </c>
      <c r="I431" s="1405">
        <v>1390</v>
      </c>
      <c r="J431" s="1405">
        <f t="shared" si="53"/>
        <v>1390</v>
      </c>
      <c r="K431" s="1405">
        <f t="shared" si="53"/>
        <v>1390</v>
      </c>
      <c r="L431" s="1405">
        <f t="shared" si="53"/>
        <v>1390</v>
      </c>
      <c r="M431" s="1405">
        <f t="shared" si="55"/>
        <v>1529.0000000000002</v>
      </c>
      <c r="N431" s="1403">
        <f t="shared" si="54"/>
        <v>1529.0000000000002</v>
      </c>
      <c r="O431" s="1403">
        <f t="shared" si="54"/>
        <v>1529.0000000000002</v>
      </c>
      <c r="P431" s="1403">
        <f t="shared" si="54"/>
        <v>1529.0000000000002</v>
      </c>
      <c r="Q431" s="1403">
        <v>1529.0000000000002</v>
      </c>
      <c r="R431" s="25"/>
    </row>
    <row r="432" spans="1:18" ht="17.25">
      <c r="A432" s="608">
        <f t="shared" si="56"/>
        <v>37.069999999999986</v>
      </c>
      <c r="B432" s="312" t="s">
        <v>655</v>
      </c>
      <c r="C432" s="52" t="s">
        <v>519</v>
      </c>
      <c r="D432" s="25"/>
      <c r="E432" s="1424"/>
      <c r="F432" s="1424"/>
      <c r="G432" s="1424"/>
      <c r="H432" s="1424">
        <v>1970</v>
      </c>
      <c r="I432" s="1405">
        <v>1970</v>
      </c>
      <c r="J432" s="1405">
        <f t="shared" si="53"/>
        <v>1970</v>
      </c>
      <c r="K432" s="1405">
        <f t="shared" si="53"/>
        <v>1970</v>
      </c>
      <c r="L432" s="1405">
        <f t="shared" si="53"/>
        <v>1970</v>
      </c>
      <c r="M432" s="1405">
        <f t="shared" si="55"/>
        <v>2167</v>
      </c>
      <c r="N432" s="1403">
        <f t="shared" si="54"/>
        <v>2167</v>
      </c>
      <c r="O432" s="1403">
        <f t="shared" si="54"/>
        <v>2167</v>
      </c>
      <c r="P432" s="1403">
        <f t="shared" si="54"/>
        <v>2167</v>
      </c>
      <c r="Q432" s="1403">
        <v>2167</v>
      </c>
      <c r="R432" s="25"/>
    </row>
    <row r="433" spans="1:18" ht="17.25">
      <c r="A433" s="608">
        <f t="shared" si="56"/>
        <v>37.079999999999984</v>
      </c>
      <c r="B433" s="312" t="s">
        <v>487</v>
      </c>
      <c r="C433" s="52" t="s">
        <v>519</v>
      </c>
      <c r="D433" s="25"/>
      <c r="E433" s="1424"/>
      <c r="F433" s="1424"/>
      <c r="G433" s="1424"/>
      <c r="H433" s="1424">
        <v>2550</v>
      </c>
      <c r="I433" s="1405">
        <v>2550</v>
      </c>
      <c r="J433" s="1405">
        <f t="shared" si="53"/>
        <v>2550</v>
      </c>
      <c r="K433" s="1405">
        <f t="shared" si="53"/>
        <v>2550</v>
      </c>
      <c r="L433" s="1405">
        <f t="shared" si="53"/>
        <v>2550</v>
      </c>
      <c r="M433" s="1405">
        <f t="shared" si="55"/>
        <v>2805</v>
      </c>
      <c r="N433" s="1403">
        <f t="shared" si="54"/>
        <v>2805</v>
      </c>
      <c r="O433" s="1403">
        <f t="shared" si="54"/>
        <v>2805</v>
      </c>
      <c r="P433" s="1403">
        <f t="shared" si="54"/>
        <v>2805</v>
      </c>
      <c r="Q433" s="1403">
        <v>2805</v>
      </c>
      <c r="R433" s="25"/>
    </row>
    <row r="434" spans="1:18" ht="17.25">
      <c r="A434" s="608">
        <f t="shared" si="56"/>
        <v>37.089999999999982</v>
      </c>
      <c r="B434" s="312" t="s">
        <v>656</v>
      </c>
      <c r="C434" s="52" t="s">
        <v>519</v>
      </c>
      <c r="D434" s="25"/>
      <c r="E434" s="1424"/>
      <c r="F434" s="1424"/>
      <c r="G434" s="1424"/>
      <c r="H434" s="1424">
        <v>3530</v>
      </c>
      <c r="I434" s="1405">
        <v>3530</v>
      </c>
      <c r="J434" s="1405">
        <f t="shared" si="53"/>
        <v>3530</v>
      </c>
      <c r="K434" s="1405">
        <f t="shared" si="53"/>
        <v>3530</v>
      </c>
      <c r="L434" s="1405">
        <f t="shared" si="53"/>
        <v>3530</v>
      </c>
      <c r="M434" s="1405">
        <f t="shared" si="55"/>
        <v>3883.0000000000005</v>
      </c>
      <c r="N434" s="1403">
        <f t="shared" si="54"/>
        <v>3883.0000000000005</v>
      </c>
      <c r="O434" s="1403">
        <f t="shared" si="54"/>
        <v>3883.0000000000005</v>
      </c>
      <c r="P434" s="1403">
        <f t="shared" si="54"/>
        <v>3883.0000000000005</v>
      </c>
      <c r="Q434" s="1403">
        <v>3883.0000000000005</v>
      </c>
      <c r="R434" s="25"/>
    </row>
    <row r="435" spans="1:18" ht="17.25">
      <c r="A435" s="608">
        <f t="shared" si="56"/>
        <v>37.09999999999998</v>
      </c>
      <c r="B435" s="312" t="s">
        <v>657</v>
      </c>
      <c r="C435" s="52" t="s">
        <v>519</v>
      </c>
      <c r="D435" s="25"/>
      <c r="E435" s="1424"/>
      <c r="F435" s="1424"/>
      <c r="G435" s="1424"/>
      <c r="H435" s="1424">
        <v>4520</v>
      </c>
      <c r="I435" s="1405">
        <v>4520</v>
      </c>
      <c r="J435" s="1405">
        <f t="shared" si="53"/>
        <v>4520</v>
      </c>
      <c r="K435" s="1405">
        <f t="shared" si="53"/>
        <v>4520</v>
      </c>
      <c r="L435" s="1405">
        <f t="shared" si="53"/>
        <v>4520</v>
      </c>
      <c r="M435" s="1405">
        <f t="shared" si="55"/>
        <v>4972</v>
      </c>
      <c r="N435" s="1403">
        <f t="shared" si="54"/>
        <v>4972</v>
      </c>
      <c r="O435" s="1403">
        <f t="shared" si="54"/>
        <v>4972</v>
      </c>
      <c r="P435" s="1403">
        <f t="shared" si="54"/>
        <v>4972</v>
      </c>
      <c r="Q435" s="1403">
        <v>4972</v>
      </c>
      <c r="R435" s="25"/>
    </row>
    <row r="436" spans="1:18" ht="17.25">
      <c r="A436" s="608">
        <f t="shared" si="56"/>
        <v>37.109999999999978</v>
      </c>
      <c r="B436" s="312" t="s">
        <v>658</v>
      </c>
      <c r="C436" s="52" t="s">
        <v>519</v>
      </c>
      <c r="D436" s="25"/>
      <c r="E436" s="1424"/>
      <c r="F436" s="1424"/>
      <c r="G436" s="1424"/>
      <c r="H436" s="1424">
        <v>5670</v>
      </c>
      <c r="I436" s="1405">
        <v>5670</v>
      </c>
      <c r="J436" s="1405">
        <f t="shared" si="53"/>
        <v>5670</v>
      </c>
      <c r="K436" s="1405">
        <f t="shared" si="53"/>
        <v>5670</v>
      </c>
      <c r="L436" s="1405">
        <f t="shared" si="53"/>
        <v>5670</v>
      </c>
      <c r="M436" s="1405">
        <f t="shared" si="55"/>
        <v>6237.0000000000009</v>
      </c>
      <c r="N436" s="1403">
        <f t="shared" si="54"/>
        <v>6237.0000000000009</v>
      </c>
      <c r="O436" s="1403">
        <f t="shared" si="54"/>
        <v>6237.0000000000009</v>
      </c>
      <c r="P436" s="1403">
        <f t="shared" si="54"/>
        <v>6237.0000000000009</v>
      </c>
      <c r="Q436" s="1403">
        <v>6237.0000000000009</v>
      </c>
      <c r="R436" s="25"/>
    </row>
    <row r="437" spans="1:18" ht="17.25">
      <c r="A437" s="608">
        <f t="shared" si="56"/>
        <v>37.119999999999976</v>
      </c>
      <c r="B437" s="312" t="s">
        <v>659</v>
      </c>
      <c r="C437" s="52" t="s">
        <v>519</v>
      </c>
      <c r="D437" s="25"/>
      <c r="E437" s="1424"/>
      <c r="F437" s="1424"/>
      <c r="G437" s="1424"/>
      <c r="H437" s="1424">
        <v>7380</v>
      </c>
      <c r="I437" s="1405">
        <v>7380</v>
      </c>
      <c r="J437" s="1405">
        <f t="shared" si="53"/>
        <v>7380</v>
      </c>
      <c r="K437" s="1405">
        <f t="shared" si="53"/>
        <v>7380</v>
      </c>
      <c r="L437" s="1405">
        <f t="shared" si="53"/>
        <v>7380</v>
      </c>
      <c r="M437" s="1405">
        <f t="shared" si="55"/>
        <v>8118.0000000000009</v>
      </c>
      <c r="N437" s="1403">
        <f t="shared" si="54"/>
        <v>8118.0000000000009</v>
      </c>
      <c r="O437" s="1403">
        <f t="shared" si="54"/>
        <v>8118.0000000000009</v>
      </c>
      <c r="P437" s="1403">
        <f t="shared" si="54"/>
        <v>8118.0000000000009</v>
      </c>
      <c r="Q437" s="1403">
        <v>8118.0000000000009</v>
      </c>
      <c r="R437" s="25"/>
    </row>
    <row r="438" spans="1:18" ht="17.25">
      <c r="A438" s="608">
        <f t="shared" si="56"/>
        <v>37.129999999999974</v>
      </c>
      <c r="B438" s="312" t="s">
        <v>686</v>
      </c>
      <c r="C438" s="52" t="s">
        <v>519</v>
      </c>
      <c r="D438" s="25"/>
      <c r="E438" s="1424"/>
      <c r="F438" s="1424"/>
      <c r="G438" s="1424"/>
      <c r="H438" s="1424">
        <v>11130</v>
      </c>
      <c r="I438" s="1405">
        <v>11130</v>
      </c>
      <c r="J438" s="1405">
        <f t="shared" si="53"/>
        <v>11130</v>
      </c>
      <c r="K438" s="1405">
        <f t="shared" si="53"/>
        <v>11130</v>
      </c>
      <c r="L438" s="1405">
        <f t="shared" si="53"/>
        <v>11130</v>
      </c>
      <c r="M438" s="1405">
        <f t="shared" si="55"/>
        <v>12243.000000000002</v>
      </c>
      <c r="N438" s="1403">
        <f t="shared" si="54"/>
        <v>12243.000000000002</v>
      </c>
      <c r="O438" s="1403">
        <f t="shared" si="54"/>
        <v>12243.000000000002</v>
      </c>
      <c r="P438" s="1403">
        <f t="shared" si="54"/>
        <v>12243.000000000002</v>
      </c>
      <c r="Q438" s="1403">
        <v>12243.000000000002</v>
      </c>
      <c r="R438" s="25"/>
    </row>
    <row r="439" spans="1:18" ht="17.25">
      <c r="A439" s="608">
        <f t="shared" si="56"/>
        <v>37.139999999999972</v>
      </c>
      <c r="B439" s="312" t="s">
        <v>660</v>
      </c>
      <c r="C439" s="52" t="s">
        <v>519</v>
      </c>
      <c r="D439" s="25"/>
      <c r="E439" s="1424"/>
      <c r="F439" s="1424"/>
      <c r="G439" s="1424"/>
      <c r="H439" s="1424">
        <v>15100</v>
      </c>
      <c r="I439" s="1405">
        <v>15100</v>
      </c>
      <c r="J439" s="1405">
        <f t="shared" si="53"/>
        <v>15100</v>
      </c>
      <c r="K439" s="1405">
        <f t="shared" si="53"/>
        <v>15100</v>
      </c>
      <c r="L439" s="1405">
        <f t="shared" si="53"/>
        <v>15100</v>
      </c>
      <c r="M439" s="1405">
        <f t="shared" si="55"/>
        <v>16610</v>
      </c>
      <c r="N439" s="1403">
        <f t="shared" si="54"/>
        <v>16610</v>
      </c>
      <c r="O439" s="1403">
        <f t="shared" si="54"/>
        <v>16610</v>
      </c>
      <c r="P439" s="1403">
        <f t="shared" si="54"/>
        <v>16610</v>
      </c>
      <c r="Q439" s="1403">
        <v>16610</v>
      </c>
      <c r="R439" s="25"/>
    </row>
    <row r="440" spans="1:18" ht="15.75">
      <c r="A440" s="328">
        <v>38</v>
      </c>
      <c r="B440" s="398" t="s">
        <v>687</v>
      </c>
      <c r="C440" s="591"/>
      <c r="D440" s="330"/>
      <c r="E440" s="1425"/>
      <c r="F440" s="1425"/>
      <c r="G440" s="1425"/>
      <c r="H440" s="1425"/>
      <c r="I440" s="1408"/>
      <c r="J440" s="1408"/>
      <c r="K440" s="1408"/>
      <c r="L440" s="1408"/>
      <c r="M440" s="1408"/>
      <c r="N440" s="1407"/>
      <c r="O440" s="1407"/>
      <c r="P440" s="1407"/>
      <c r="Q440" s="1407"/>
      <c r="R440" s="330"/>
    </row>
    <row r="441" spans="1:18" ht="17.25">
      <c r="A441" s="608">
        <f>A440+0.01</f>
        <v>38.01</v>
      </c>
      <c r="B441" s="312" t="s">
        <v>404</v>
      </c>
      <c r="C441" s="52" t="s">
        <v>519</v>
      </c>
      <c r="D441" s="25"/>
      <c r="E441" s="1424"/>
      <c r="F441" s="1424"/>
      <c r="G441" s="1424"/>
      <c r="H441" s="1424">
        <v>170</v>
      </c>
      <c r="I441" s="1405">
        <v>170</v>
      </c>
      <c r="J441" s="1405">
        <f t="shared" si="53"/>
        <v>170</v>
      </c>
      <c r="K441" s="1405">
        <f t="shared" si="53"/>
        <v>170</v>
      </c>
      <c r="L441" s="1405">
        <f t="shared" si="53"/>
        <v>170</v>
      </c>
      <c r="M441" s="1405">
        <f t="shared" si="55"/>
        <v>187.00000000000003</v>
      </c>
      <c r="N441" s="1403">
        <f t="shared" si="54"/>
        <v>187.00000000000003</v>
      </c>
      <c r="O441" s="1403">
        <f t="shared" si="54"/>
        <v>187.00000000000003</v>
      </c>
      <c r="P441" s="1403">
        <f t="shared" si="54"/>
        <v>187.00000000000003</v>
      </c>
      <c r="Q441" s="1403">
        <v>187.00000000000003</v>
      </c>
      <c r="R441" s="25"/>
    </row>
    <row r="442" spans="1:18" ht="17.25">
      <c r="A442" s="608">
        <f t="shared" ref="A442:A453" si="57">A441+0.01</f>
        <v>38.019999999999996</v>
      </c>
      <c r="B442" s="312" t="s">
        <v>405</v>
      </c>
      <c r="C442" s="52" t="s">
        <v>519</v>
      </c>
      <c r="D442" s="25"/>
      <c r="E442" s="1424"/>
      <c r="F442" s="1424"/>
      <c r="G442" s="1424"/>
      <c r="H442" s="1424">
        <v>230</v>
      </c>
      <c r="I442" s="1405">
        <v>230</v>
      </c>
      <c r="J442" s="1405">
        <f t="shared" si="53"/>
        <v>230</v>
      </c>
      <c r="K442" s="1405">
        <f t="shared" si="53"/>
        <v>230</v>
      </c>
      <c r="L442" s="1405">
        <f t="shared" si="53"/>
        <v>230</v>
      </c>
      <c r="M442" s="1405">
        <f t="shared" si="55"/>
        <v>253.00000000000003</v>
      </c>
      <c r="N442" s="1403">
        <f t="shared" si="54"/>
        <v>253.00000000000003</v>
      </c>
      <c r="O442" s="1403">
        <f t="shared" si="54"/>
        <v>253.00000000000003</v>
      </c>
      <c r="P442" s="1403">
        <f t="shared" si="54"/>
        <v>253.00000000000003</v>
      </c>
      <c r="Q442" s="1403">
        <v>253.00000000000003</v>
      </c>
      <c r="R442" s="25"/>
    </row>
    <row r="443" spans="1:18" ht="17.25">
      <c r="A443" s="608">
        <f t="shared" si="57"/>
        <v>38.029999999999994</v>
      </c>
      <c r="B443" s="312" t="s">
        <v>406</v>
      </c>
      <c r="C443" s="52" t="s">
        <v>519</v>
      </c>
      <c r="D443" s="25"/>
      <c r="E443" s="1424"/>
      <c r="F443" s="1424"/>
      <c r="G443" s="1424"/>
      <c r="H443" s="1424">
        <v>570</v>
      </c>
      <c r="I443" s="1405">
        <v>570</v>
      </c>
      <c r="J443" s="1405">
        <f t="shared" si="53"/>
        <v>570</v>
      </c>
      <c r="K443" s="1405">
        <f t="shared" si="53"/>
        <v>570</v>
      </c>
      <c r="L443" s="1405">
        <f t="shared" si="53"/>
        <v>570</v>
      </c>
      <c r="M443" s="1405">
        <f t="shared" si="55"/>
        <v>627</v>
      </c>
      <c r="N443" s="1403">
        <f t="shared" si="54"/>
        <v>627</v>
      </c>
      <c r="O443" s="1403">
        <f t="shared" si="54"/>
        <v>627</v>
      </c>
      <c r="P443" s="1403">
        <f t="shared" si="54"/>
        <v>627</v>
      </c>
      <c r="Q443" s="1403">
        <v>627</v>
      </c>
      <c r="R443" s="25"/>
    </row>
    <row r="444" spans="1:18" ht="17.25">
      <c r="A444" s="608">
        <f t="shared" si="57"/>
        <v>38.039999999999992</v>
      </c>
      <c r="B444" s="312" t="s">
        <v>407</v>
      </c>
      <c r="C444" s="52" t="s">
        <v>519</v>
      </c>
      <c r="D444" s="25"/>
      <c r="E444" s="1424"/>
      <c r="F444" s="1424"/>
      <c r="G444" s="1424"/>
      <c r="H444" s="1424">
        <v>750</v>
      </c>
      <c r="I444" s="1405">
        <v>750</v>
      </c>
      <c r="J444" s="1405">
        <f t="shared" si="53"/>
        <v>750</v>
      </c>
      <c r="K444" s="1405">
        <f t="shared" si="53"/>
        <v>750</v>
      </c>
      <c r="L444" s="1405">
        <f t="shared" si="53"/>
        <v>750</v>
      </c>
      <c r="M444" s="1405">
        <f t="shared" si="55"/>
        <v>825.00000000000011</v>
      </c>
      <c r="N444" s="1403">
        <f t="shared" si="54"/>
        <v>825.00000000000011</v>
      </c>
      <c r="O444" s="1403">
        <f t="shared" si="54"/>
        <v>825.00000000000011</v>
      </c>
      <c r="P444" s="1403">
        <f t="shared" si="54"/>
        <v>825.00000000000011</v>
      </c>
      <c r="Q444" s="1403">
        <v>825.00000000000011</v>
      </c>
      <c r="R444" s="25"/>
    </row>
    <row r="445" spans="1:18" ht="17.25">
      <c r="A445" s="608">
        <f t="shared" si="57"/>
        <v>38.04999999999999</v>
      </c>
      <c r="B445" s="312" t="s">
        <v>408</v>
      </c>
      <c r="C445" s="52" t="s">
        <v>519</v>
      </c>
      <c r="D445" s="25"/>
      <c r="E445" s="1424"/>
      <c r="F445" s="1424"/>
      <c r="G445" s="1424"/>
      <c r="H445" s="1424">
        <v>1050</v>
      </c>
      <c r="I445" s="1405">
        <v>1050</v>
      </c>
      <c r="J445" s="1405">
        <f t="shared" si="53"/>
        <v>1050</v>
      </c>
      <c r="K445" s="1405">
        <f t="shared" si="53"/>
        <v>1050</v>
      </c>
      <c r="L445" s="1405">
        <f t="shared" si="53"/>
        <v>1050</v>
      </c>
      <c r="M445" s="1405">
        <f t="shared" si="55"/>
        <v>1155</v>
      </c>
      <c r="N445" s="1403">
        <f t="shared" si="54"/>
        <v>1155</v>
      </c>
      <c r="O445" s="1403">
        <f t="shared" si="54"/>
        <v>1155</v>
      </c>
      <c r="P445" s="1403">
        <f t="shared" si="54"/>
        <v>1155</v>
      </c>
      <c r="Q445" s="1403">
        <v>1155</v>
      </c>
      <c r="R445" s="25"/>
    </row>
    <row r="446" spans="1:18" ht="17.25">
      <c r="A446" s="608">
        <f t="shared" si="57"/>
        <v>38.059999999999988</v>
      </c>
      <c r="B446" s="312" t="s">
        <v>654</v>
      </c>
      <c r="C446" s="52" t="s">
        <v>519</v>
      </c>
      <c r="D446" s="25"/>
      <c r="E446" s="1424"/>
      <c r="F446" s="1424"/>
      <c r="G446" s="1424"/>
      <c r="H446" s="1424">
        <v>1390</v>
      </c>
      <c r="I446" s="1405">
        <v>1390</v>
      </c>
      <c r="J446" s="1405">
        <f t="shared" si="53"/>
        <v>1390</v>
      </c>
      <c r="K446" s="1405">
        <f t="shared" si="53"/>
        <v>1390</v>
      </c>
      <c r="L446" s="1405">
        <f t="shared" si="53"/>
        <v>1390</v>
      </c>
      <c r="M446" s="1405">
        <f t="shared" si="55"/>
        <v>1529.0000000000002</v>
      </c>
      <c r="N446" s="1403">
        <f t="shared" si="54"/>
        <v>1529.0000000000002</v>
      </c>
      <c r="O446" s="1403">
        <f t="shared" si="54"/>
        <v>1529.0000000000002</v>
      </c>
      <c r="P446" s="1403">
        <f t="shared" si="54"/>
        <v>1529.0000000000002</v>
      </c>
      <c r="Q446" s="1403">
        <v>1529.0000000000002</v>
      </c>
      <c r="R446" s="25"/>
    </row>
    <row r="447" spans="1:18" ht="17.25">
      <c r="A447" s="608">
        <f t="shared" si="57"/>
        <v>38.069999999999986</v>
      </c>
      <c r="B447" s="312" t="s">
        <v>655</v>
      </c>
      <c r="C447" s="52" t="s">
        <v>519</v>
      </c>
      <c r="D447" s="25"/>
      <c r="E447" s="1424"/>
      <c r="F447" s="1424"/>
      <c r="G447" s="1424"/>
      <c r="H447" s="1424">
        <v>1900</v>
      </c>
      <c r="I447" s="1405">
        <v>1900</v>
      </c>
      <c r="J447" s="1405">
        <f t="shared" ref="J447:L464" si="58">I447</f>
        <v>1900</v>
      </c>
      <c r="K447" s="1405">
        <f t="shared" si="58"/>
        <v>1900</v>
      </c>
      <c r="L447" s="1405">
        <f t="shared" si="58"/>
        <v>1900</v>
      </c>
      <c r="M447" s="1405">
        <f t="shared" si="55"/>
        <v>2090</v>
      </c>
      <c r="N447" s="1403">
        <f t="shared" ref="N447:P464" si="59">M447</f>
        <v>2090</v>
      </c>
      <c r="O447" s="1403">
        <f t="shared" si="59"/>
        <v>2090</v>
      </c>
      <c r="P447" s="1403">
        <f t="shared" si="59"/>
        <v>2090</v>
      </c>
      <c r="Q447" s="1403">
        <v>2090</v>
      </c>
      <c r="R447" s="25"/>
    </row>
    <row r="448" spans="1:18" ht="17.25">
      <c r="A448" s="608">
        <f t="shared" si="57"/>
        <v>38.079999999999984</v>
      </c>
      <c r="B448" s="312" t="s">
        <v>487</v>
      </c>
      <c r="C448" s="52" t="s">
        <v>519</v>
      </c>
      <c r="D448" s="25"/>
      <c r="E448" s="1424"/>
      <c r="F448" s="1424"/>
      <c r="G448" s="1424"/>
      <c r="H448" s="1424">
        <v>2650</v>
      </c>
      <c r="I448" s="1405">
        <v>2650</v>
      </c>
      <c r="J448" s="1405">
        <f t="shared" si="58"/>
        <v>2650</v>
      </c>
      <c r="K448" s="1405">
        <f t="shared" si="58"/>
        <v>2650</v>
      </c>
      <c r="L448" s="1405">
        <f t="shared" si="58"/>
        <v>2650</v>
      </c>
      <c r="M448" s="1405">
        <f t="shared" si="55"/>
        <v>2915.0000000000005</v>
      </c>
      <c r="N448" s="1403">
        <f t="shared" si="59"/>
        <v>2915.0000000000005</v>
      </c>
      <c r="O448" s="1403">
        <f t="shared" si="59"/>
        <v>2915.0000000000005</v>
      </c>
      <c r="P448" s="1403">
        <f t="shared" si="59"/>
        <v>2915.0000000000005</v>
      </c>
      <c r="Q448" s="1403">
        <v>2915.0000000000005</v>
      </c>
      <c r="R448" s="25"/>
    </row>
    <row r="449" spans="1:18" ht="17.25">
      <c r="A449" s="608">
        <f t="shared" si="57"/>
        <v>38.089999999999982</v>
      </c>
      <c r="B449" s="312" t="s">
        <v>656</v>
      </c>
      <c r="C449" s="52" t="s">
        <v>519</v>
      </c>
      <c r="D449" s="25"/>
      <c r="E449" s="1424"/>
      <c r="F449" s="1424"/>
      <c r="G449" s="1424"/>
      <c r="H449" s="1424">
        <v>3500</v>
      </c>
      <c r="I449" s="1405">
        <v>3500</v>
      </c>
      <c r="J449" s="1405">
        <f t="shared" si="58"/>
        <v>3500</v>
      </c>
      <c r="K449" s="1405">
        <f t="shared" si="58"/>
        <v>3500</v>
      </c>
      <c r="L449" s="1405">
        <f t="shared" si="58"/>
        <v>3500</v>
      </c>
      <c r="M449" s="1405">
        <f t="shared" si="55"/>
        <v>3850.0000000000005</v>
      </c>
      <c r="N449" s="1403">
        <f t="shared" si="59"/>
        <v>3850.0000000000005</v>
      </c>
      <c r="O449" s="1403">
        <f t="shared" si="59"/>
        <v>3850.0000000000005</v>
      </c>
      <c r="P449" s="1403">
        <f t="shared" si="59"/>
        <v>3850.0000000000005</v>
      </c>
      <c r="Q449" s="1403">
        <v>3850.0000000000005</v>
      </c>
      <c r="R449" s="25"/>
    </row>
    <row r="450" spans="1:18" ht="17.25">
      <c r="A450" s="608">
        <f t="shared" si="57"/>
        <v>38.09999999999998</v>
      </c>
      <c r="B450" s="312" t="s">
        <v>657</v>
      </c>
      <c r="C450" s="52" t="s">
        <v>519</v>
      </c>
      <c r="D450" s="25"/>
      <c r="E450" s="1424"/>
      <c r="F450" s="1424"/>
      <c r="G450" s="1424"/>
      <c r="H450" s="1424">
        <v>4262</v>
      </c>
      <c r="I450" s="1405">
        <v>4262</v>
      </c>
      <c r="J450" s="1405">
        <f t="shared" si="58"/>
        <v>4262</v>
      </c>
      <c r="K450" s="1405">
        <f t="shared" si="58"/>
        <v>4262</v>
      </c>
      <c r="L450" s="1405">
        <f t="shared" si="58"/>
        <v>4262</v>
      </c>
      <c r="M450" s="1405">
        <f t="shared" si="55"/>
        <v>4688.2000000000007</v>
      </c>
      <c r="N450" s="1403">
        <f t="shared" si="59"/>
        <v>4688.2000000000007</v>
      </c>
      <c r="O450" s="1403">
        <f t="shared" si="59"/>
        <v>4688.2000000000007</v>
      </c>
      <c r="P450" s="1403">
        <f t="shared" si="59"/>
        <v>4688.2000000000007</v>
      </c>
      <c r="Q450" s="1403">
        <v>4688.2000000000007</v>
      </c>
      <c r="R450" s="25"/>
    </row>
    <row r="451" spans="1:18" ht="17.25">
      <c r="A451" s="608">
        <f t="shared" si="57"/>
        <v>38.109999999999978</v>
      </c>
      <c r="B451" s="312" t="s">
        <v>658</v>
      </c>
      <c r="C451" s="52" t="s">
        <v>519</v>
      </c>
      <c r="D451" s="25"/>
      <c r="E451" s="1424"/>
      <c r="F451" s="1424"/>
      <c r="G451" s="1424"/>
      <c r="H451" s="1424">
        <v>6350</v>
      </c>
      <c r="I451" s="1405">
        <v>6350</v>
      </c>
      <c r="J451" s="1405">
        <f t="shared" si="58"/>
        <v>6350</v>
      </c>
      <c r="K451" s="1405">
        <f t="shared" si="58"/>
        <v>6350</v>
      </c>
      <c r="L451" s="1405">
        <f t="shared" si="58"/>
        <v>6350</v>
      </c>
      <c r="M451" s="1405">
        <f t="shared" si="55"/>
        <v>6985.0000000000009</v>
      </c>
      <c r="N451" s="1403">
        <f t="shared" si="59"/>
        <v>6985.0000000000009</v>
      </c>
      <c r="O451" s="1403">
        <f t="shared" si="59"/>
        <v>6985.0000000000009</v>
      </c>
      <c r="P451" s="1403">
        <f t="shared" si="59"/>
        <v>6985.0000000000009</v>
      </c>
      <c r="Q451" s="1403">
        <v>6985.0000000000009</v>
      </c>
      <c r="R451" s="25"/>
    </row>
    <row r="452" spans="1:18" ht="17.25">
      <c r="A452" s="608">
        <f t="shared" si="57"/>
        <v>38.119999999999976</v>
      </c>
      <c r="B452" s="312" t="s">
        <v>659</v>
      </c>
      <c r="C452" s="52" t="s">
        <v>519</v>
      </c>
      <c r="D452" s="25"/>
      <c r="E452" s="1424"/>
      <c r="F452" s="1424"/>
      <c r="G452" s="1424"/>
      <c r="H452" s="1424">
        <v>8500</v>
      </c>
      <c r="I452" s="1405">
        <v>8500</v>
      </c>
      <c r="J452" s="1405">
        <f t="shared" si="58"/>
        <v>8500</v>
      </c>
      <c r="K452" s="1405">
        <f t="shared" si="58"/>
        <v>8500</v>
      </c>
      <c r="L452" s="1405">
        <f t="shared" si="58"/>
        <v>8500</v>
      </c>
      <c r="M452" s="1405">
        <f t="shared" si="55"/>
        <v>9350</v>
      </c>
      <c r="N452" s="1403">
        <f t="shared" si="59"/>
        <v>9350</v>
      </c>
      <c r="O452" s="1403">
        <f t="shared" si="59"/>
        <v>9350</v>
      </c>
      <c r="P452" s="1403">
        <f t="shared" si="59"/>
        <v>9350</v>
      </c>
      <c r="Q452" s="1403">
        <v>9350</v>
      </c>
      <c r="R452" s="25"/>
    </row>
    <row r="453" spans="1:18" ht="17.25">
      <c r="A453" s="608">
        <f t="shared" si="57"/>
        <v>38.129999999999974</v>
      </c>
      <c r="B453" s="312" t="s">
        <v>686</v>
      </c>
      <c r="C453" s="52" t="s">
        <v>519</v>
      </c>
      <c r="D453" s="25"/>
      <c r="E453" s="1424"/>
      <c r="F453" s="1424"/>
      <c r="G453" s="1424"/>
      <c r="H453" s="1424">
        <v>11670</v>
      </c>
      <c r="I453" s="1405">
        <v>11670</v>
      </c>
      <c r="J453" s="1405">
        <f t="shared" si="58"/>
        <v>11670</v>
      </c>
      <c r="K453" s="1405">
        <f t="shared" si="58"/>
        <v>11670</v>
      </c>
      <c r="L453" s="1405">
        <f t="shared" si="58"/>
        <v>11670</v>
      </c>
      <c r="M453" s="1405">
        <f t="shared" ref="M453:M464" si="60">L453*1.1</f>
        <v>12837.000000000002</v>
      </c>
      <c r="N453" s="1403">
        <f t="shared" si="59"/>
        <v>12837.000000000002</v>
      </c>
      <c r="O453" s="1403">
        <f t="shared" si="59"/>
        <v>12837.000000000002</v>
      </c>
      <c r="P453" s="1403">
        <f t="shared" si="59"/>
        <v>12837.000000000002</v>
      </c>
      <c r="Q453" s="1403">
        <v>12837.000000000002</v>
      </c>
      <c r="R453" s="25"/>
    </row>
    <row r="454" spans="1:18" s="242" customFormat="1" ht="15.75">
      <c r="A454" s="328">
        <v>39</v>
      </c>
      <c r="B454" s="398" t="s">
        <v>688</v>
      </c>
      <c r="C454" s="1078"/>
      <c r="D454" s="328"/>
      <c r="E454" s="1429"/>
      <c r="F454" s="1429"/>
      <c r="G454" s="1429"/>
      <c r="H454" s="1429"/>
      <c r="I454" s="1413"/>
      <c r="J454" s="1413"/>
      <c r="K454" s="1413"/>
      <c r="L454" s="1413"/>
      <c r="M454" s="1413"/>
      <c r="N454" s="1412"/>
      <c r="O454" s="1412"/>
      <c r="P454" s="1412"/>
      <c r="Q454" s="1412"/>
      <c r="R454" s="328"/>
    </row>
    <row r="455" spans="1:18" ht="17.25">
      <c r="A455" s="608">
        <f>A454+0.01</f>
        <v>39.01</v>
      </c>
      <c r="B455" s="312" t="s">
        <v>403</v>
      </c>
      <c r="C455" s="52" t="s">
        <v>519</v>
      </c>
      <c r="D455" s="25"/>
      <c r="E455" s="1424"/>
      <c r="F455" s="1424"/>
      <c r="G455" s="1424"/>
      <c r="H455" s="1424">
        <v>90</v>
      </c>
      <c r="I455" s="1405">
        <v>90</v>
      </c>
      <c r="J455" s="1405">
        <f t="shared" si="58"/>
        <v>90</v>
      </c>
      <c r="K455" s="1405">
        <f t="shared" si="58"/>
        <v>90</v>
      </c>
      <c r="L455" s="1405">
        <f t="shared" si="58"/>
        <v>90</v>
      </c>
      <c r="M455" s="1405">
        <f t="shared" si="60"/>
        <v>99.000000000000014</v>
      </c>
      <c r="N455" s="1403">
        <f t="shared" si="59"/>
        <v>99.000000000000014</v>
      </c>
      <c r="O455" s="1403">
        <f t="shared" si="59"/>
        <v>99.000000000000014</v>
      </c>
      <c r="P455" s="1403">
        <f t="shared" si="59"/>
        <v>99.000000000000014</v>
      </c>
      <c r="Q455" s="1403">
        <v>99.000000000000014</v>
      </c>
      <c r="R455" s="25"/>
    </row>
    <row r="456" spans="1:18" ht="17.25">
      <c r="A456" s="608">
        <f t="shared" ref="A456:A463" si="61">A455+0.01</f>
        <v>39.019999999999996</v>
      </c>
      <c r="B456" s="312" t="s">
        <v>404</v>
      </c>
      <c r="C456" s="52" t="s">
        <v>519</v>
      </c>
      <c r="D456" s="25"/>
      <c r="E456" s="1424"/>
      <c r="F456" s="1424"/>
      <c r="G456" s="1424"/>
      <c r="H456" s="1424">
        <v>90</v>
      </c>
      <c r="I456" s="1405">
        <v>90</v>
      </c>
      <c r="J456" s="1405">
        <f t="shared" si="58"/>
        <v>90</v>
      </c>
      <c r="K456" s="1405">
        <f t="shared" si="58"/>
        <v>90</v>
      </c>
      <c r="L456" s="1405">
        <f t="shared" si="58"/>
        <v>90</v>
      </c>
      <c r="M456" s="1405">
        <f t="shared" si="60"/>
        <v>99.000000000000014</v>
      </c>
      <c r="N456" s="1403">
        <f t="shared" si="59"/>
        <v>99.000000000000014</v>
      </c>
      <c r="O456" s="1403">
        <f t="shared" si="59"/>
        <v>99.000000000000014</v>
      </c>
      <c r="P456" s="1403">
        <f t="shared" si="59"/>
        <v>99.000000000000014</v>
      </c>
      <c r="Q456" s="1403">
        <v>99.000000000000014</v>
      </c>
      <c r="R456" s="25"/>
    </row>
    <row r="457" spans="1:18" ht="17.25">
      <c r="A457" s="608">
        <f t="shared" si="61"/>
        <v>39.029999999999994</v>
      </c>
      <c r="B457" s="312" t="s">
        <v>689</v>
      </c>
      <c r="C457" s="52" t="s">
        <v>519</v>
      </c>
      <c r="D457" s="25"/>
      <c r="E457" s="1424"/>
      <c r="F457" s="1424"/>
      <c r="G457" s="1424"/>
      <c r="H457" s="1424">
        <v>100</v>
      </c>
      <c r="I457" s="1405">
        <v>100</v>
      </c>
      <c r="J457" s="1405">
        <f t="shared" si="58"/>
        <v>100</v>
      </c>
      <c r="K457" s="1405">
        <f t="shared" si="58"/>
        <v>100</v>
      </c>
      <c r="L457" s="1405">
        <f t="shared" si="58"/>
        <v>100</v>
      </c>
      <c r="M457" s="1405">
        <f t="shared" si="60"/>
        <v>110.00000000000001</v>
      </c>
      <c r="N457" s="1403">
        <f t="shared" si="59"/>
        <v>110.00000000000001</v>
      </c>
      <c r="O457" s="1403">
        <f t="shared" si="59"/>
        <v>110.00000000000001</v>
      </c>
      <c r="P457" s="1403">
        <f t="shared" si="59"/>
        <v>110.00000000000001</v>
      </c>
      <c r="Q457" s="1403">
        <v>110.00000000000001</v>
      </c>
      <c r="R457" s="25"/>
    </row>
    <row r="458" spans="1:18" ht="17.25">
      <c r="A458" s="608">
        <f t="shared" si="61"/>
        <v>39.039999999999992</v>
      </c>
      <c r="B458" s="312" t="s">
        <v>690</v>
      </c>
      <c r="C458" s="52" t="s">
        <v>519</v>
      </c>
      <c r="D458" s="25"/>
      <c r="E458" s="1424"/>
      <c r="F458" s="1424"/>
      <c r="G458" s="1424"/>
      <c r="H458" s="1424">
        <v>120</v>
      </c>
      <c r="I458" s="1405">
        <v>120</v>
      </c>
      <c r="J458" s="1405">
        <f t="shared" si="58"/>
        <v>120</v>
      </c>
      <c r="K458" s="1405">
        <f t="shared" si="58"/>
        <v>120</v>
      </c>
      <c r="L458" s="1405">
        <f t="shared" si="58"/>
        <v>120</v>
      </c>
      <c r="M458" s="1405">
        <f t="shared" si="60"/>
        <v>132</v>
      </c>
      <c r="N458" s="1403">
        <f t="shared" si="59"/>
        <v>132</v>
      </c>
      <c r="O458" s="1403">
        <f t="shared" si="59"/>
        <v>132</v>
      </c>
      <c r="P458" s="1403">
        <f t="shared" si="59"/>
        <v>132</v>
      </c>
      <c r="Q458" s="1403">
        <v>132</v>
      </c>
      <c r="R458" s="25"/>
    </row>
    <row r="459" spans="1:18" ht="17.25">
      <c r="A459" s="608">
        <f t="shared" si="61"/>
        <v>39.04999999999999</v>
      </c>
      <c r="B459" s="312" t="s">
        <v>691</v>
      </c>
      <c r="C459" s="52" t="s">
        <v>519</v>
      </c>
      <c r="D459" s="25"/>
      <c r="E459" s="1424"/>
      <c r="F459" s="1424"/>
      <c r="G459" s="1424"/>
      <c r="H459" s="1424">
        <v>140</v>
      </c>
      <c r="I459" s="1405">
        <v>140</v>
      </c>
      <c r="J459" s="1405">
        <f t="shared" si="58"/>
        <v>140</v>
      </c>
      <c r="K459" s="1405">
        <f t="shared" si="58"/>
        <v>140</v>
      </c>
      <c r="L459" s="1405">
        <f t="shared" si="58"/>
        <v>140</v>
      </c>
      <c r="M459" s="1405">
        <f t="shared" si="60"/>
        <v>154</v>
      </c>
      <c r="N459" s="1403">
        <f t="shared" si="59"/>
        <v>154</v>
      </c>
      <c r="O459" s="1403">
        <f t="shared" si="59"/>
        <v>154</v>
      </c>
      <c r="P459" s="1403">
        <f t="shared" si="59"/>
        <v>154</v>
      </c>
      <c r="Q459" s="1403">
        <v>154</v>
      </c>
      <c r="R459" s="25"/>
    </row>
    <row r="460" spans="1:18" ht="17.25">
      <c r="A460" s="608">
        <f t="shared" si="61"/>
        <v>39.059999999999988</v>
      </c>
      <c r="B460" s="312" t="s">
        <v>655</v>
      </c>
      <c r="C460" s="52" t="s">
        <v>519</v>
      </c>
      <c r="D460" s="25"/>
      <c r="E460" s="1424"/>
      <c r="F460" s="1424"/>
      <c r="G460" s="1424"/>
      <c r="H460" s="1424">
        <v>210</v>
      </c>
      <c r="I460" s="1405">
        <v>210</v>
      </c>
      <c r="J460" s="1405">
        <f t="shared" si="58"/>
        <v>210</v>
      </c>
      <c r="K460" s="1405">
        <f t="shared" si="58"/>
        <v>210</v>
      </c>
      <c r="L460" s="1405">
        <f t="shared" si="58"/>
        <v>210</v>
      </c>
      <c r="M460" s="1405">
        <f t="shared" si="60"/>
        <v>231.00000000000003</v>
      </c>
      <c r="N460" s="1403">
        <f t="shared" si="59"/>
        <v>231.00000000000003</v>
      </c>
      <c r="O460" s="1403">
        <f t="shared" si="59"/>
        <v>231.00000000000003</v>
      </c>
      <c r="P460" s="1403">
        <f t="shared" si="59"/>
        <v>231.00000000000003</v>
      </c>
      <c r="Q460" s="1403">
        <v>231.00000000000003</v>
      </c>
      <c r="R460" s="25"/>
    </row>
    <row r="461" spans="1:18" ht="17.25">
      <c r="A461" s="608">
        <f t="shared" si="61"/>
        <v>39.069999999999986</v>
      </c>
      <c r="B461" s="312" t="s">
        <v>487</v>
      </c>
      <c r="C461" s="52" t="s">
        <v>519</v>
      </c>
      <c r="D461" s="25"/>
      <c r="E461" s="1424"/>
      <c r="F461" s="1424"/>
      <c r="G461" s="1424"/>
      <c r="H461" s="1424">
        <v>540</v>
      </c>
      <c r="I461" s="1405">
        <v>540</v>
      </c>
      <c r="J461" s="1405">
        <f t="shared" si="58"/>
        <v>540</v>
      </c>
      <c r="K461" s="1405">
        <f t="shared" si="58"/>
        <v>540</v>
      </c>
      <c r="L461" s="1405">
        <f t="shared" si="58"/>
        <v>540</v>
      </c>
      <c r="M461" s="1405">
        <f t="shared" si="60"/>
        <v>594</v>
      </c>
      <c r="N461" s="1403">
        <f t="shared" si="59"/>
        <v>594</v>
      </c>
      <c r="O461" s="1403">
        <f t="shared" si="59"/>
        <v>594</v>
      </c>
      <c r="P461" s="1403">
        <f t="shared" si="59"/>
        <v>594</v>
      </c>
      <c r="Q461" s="1403">
        <v>594</v>
      </c>
      <c r="R461" s="25"/>
    </row>
    <row r="462" spans="1:18" ht="17.25">
      <c r="A462" s="608">
        <f t="shared" si="61"/>
        <v>39.079999999999984</v>
      </c>
      <c r="B462" s="312" t="s">
        <v>657</v>
      </c>
      <c r="C462" s="52" t="s">
        <v>519</v>
      </c>
      <c r="D462" s="25"/>
      <c r="E462" s="1424"/>
      <c r="F462" s="1424"/>
      <c r="G462" s="1424"/>
      <c r="H462" s="1424">
        <v>540</v>
      </c>
      <c r="I462" s="1405">
        <v>540</v>
      </c>
      <c r="J462" s="1405">
        <f t="shared" si="58"/>
        <v>540</v>
      </c>
      <c r="K462" s="1405">
        <f t="shared" si="58"/>
        <v>540</v>
      </c>
      <c r="L462" s="1405">
        <f t="shared" si="58"/>
        <v>540</v>
      </c>
      <c r="M462" s="1405">
        <f t="shared" si="60"/>
        <v>594</v>
      </c>
      <c r="N462" s="1403">
        <f t="shared" si="59"/>
        <v>594</v>
      </c>
      <c r="O462" s="1403">
        <f t="shared" si="59"/>
        <v>594</v>
      </c>
      <c r="P462" s="1403">
        <f t="shared" si="59"/>
        <v>594</v>
      </c>
      <c r="Q462" s="1403">
        <v>594</v>
      </c>
      <c r="R462" s="25"/>
    </row>
    <row r="463" spans="1:18" ht="17.25">
      <c r="A463" s="608">
        <f t="shared" si="61"/>
        <v>39.089999999999982</v>
      </c>
      <c r="B463" s="312" t="s">
        <v>659</v>
      </c>
      <c r="C463" s="52" t="s">
        <v>519</v>
      </c>
      <c r="D463" s="25"/>
      <c r="E463" s="1424"/>
      <c r="F463" s="1424"/>
      <c r="G463" s="1424"/>
      <c r="H463" s="1424">
        <v>670</v>
      </c>
      <c r="I463" s="1405">
        <v>670</v>
      </c>
      <c r="J463" s="1405">
        <f t="shared" si="58"/>
        <v>670</v>
      </c>
      <c r="K463" s="1405">
        <f t="shared" si="58"/>
        <v>670</v>
      </c>
      <c r="L463" s="1405">
        <f t="shared" si="58"/>
        <v>670</v>
      </c>
      <c r="M463" s="1405">
        <f t="shared" si="60"/>
        <v>737.00000000000011</v>
      </c>
      <c r="N463" s="1403">
        <f t="shared" si="59"/>
        <v>737.00000000000011</v>
      </c>
      <c r="O463" s="1403">
        <f t="shared" si="59"/>
        <v>737.00000000000011</v>
      </c>
      <c r="P463" s="1403">
        <f t="shared" si="59"/>
        <v>737.00000000000011</v>
      </c>
      <c r="Q463" s="1403">
        <v>737.00000000000011</v>
      </c>
      <c r="R463" s="25"/>
    </row>
    <row r="464" spans="1:18" s="242" customFormat="1" ht="15.75">
      <c r="A464" s="328">
        <v>40</v>
      </c>
      <c r="B464" s="398" t="s">
        <v>692</v>
      </c>
      <c r="C464" s="1078" t="s">
        <v>519</v>
      </c>
      <c r="D464" s="328"/>
      <c r="E464" s="1429"/>
      <c r="F464" s="1429"/>
      <c r="G464" s="1429"/>
      <c r="H464" s="1429">
        <v>500</v>
      </c>
      <c r="I464" s="1413">
        <v>500</v>
      </c>
      <c r="J464" s="1413">
        <f t="shared" si="58"/>
        <v>500</v>
      </c>
      <c r="K464" s="1413">
        <f t="shared" si="58"/>
        <v>500</v>
      </c>
      <c r="L464" s="1413">
        <f t="shared" si="58"/>
        <v>500</v>
      </c>
      <c r="M464" s="1413">
        <f t="shared" si="60"/>
        <v>550</v>
      </c>
      <c r="N464" s="1412">
        <f t="shared" si="59"/>
        <v>550</v>
      </c>
      <c r="O464" s="1412">
        <f t="shared" si="59"/>
        <v>550</v>
      </c>
      <c r="P464" s="1412">
        <f t="shared" si="59"/>
        <v>550</v>
      </c>
      <c r="Q464" s="1412">
        <v>550</v>
      </c>
      <c r="R464" s="328"/>
    </row>
  </sheetData>
  <mergeCells count="2">
    <mergeCell ref="A1:R1"/>
    <mergeCell ref="E127:G127"/>
  </mergeCells>
  <printOptions horizontalCentered="1"/>
  <pageMargins left="1.24" right="0.19" top="1.03" bottom="0.73" header="0.5" footer="0.56999999999999995"/>
  <pageSetup paperSize="9" scale="84"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rowBreaks count="1" manualBreakCount="1">
    <brk id="453" max="1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R25"/>
  <sheetViews>
    <sheetView tabSelected="1" view="pageLayout" zoomScaleNormal="100" zoomScaleSheetLayoutView="115" workbookViewId="0">
      <selection activeCell="D24" sqref="D24"/>
    </sheetView>
  </sheetViews>
  <sheetFormatPr defaultColWidth="9.28515625" defaultRowHeight="25.15" customHeight="1"/>
  <cols>
    <col min="1" max="1" width="8.28515625" style="315" bestFit="1" customWidth="1"/>
    <col min="2" max="2" width="25.42578125" style="316" customWidth="1"/>
    <col min="3" max="3" width="7.28515625" style="315" customWidth="1"/>
    <col min="4" max="7" width="6.5703125" style="315" bestFit="1" customWidth="1"/>
    <col min="8" max="8" width="10.28515625" style="315" bestFit="1" customWidth="1"/>
    <col min="9" max="10" width="8.28515625" style="315" bestFit="1" customWidth="1"/>
    <col min="11" max="17" width="10.85546875" style="315" bestFit="1" customWidth="1"/>
    <col min="19" max="24" width="0" hidden="1" customWidth="1"/>
  </cols>
  <sheetData>
    <row r="1" spans="1:18" s="314" customFormat="1" ht="25.15" customHeight="1" thickBot="1">
      <c r="A1" s="1668" t="s">
        <v>2975</v>
      </c>
      <c r="B1" s="1669"/>
      <c r="C1" s="1669"/>
      <c r="D1" s="1669"/>
      <c r="E1" s="1669"/>
      <c r="F1" s="1669"/>
      <c r="G1" s="1669"/>
      <c r="H1" s="1669"/>
      <c r="I1" s="1669"/>
      <c r="J1" s="1669"/>
      <c r="K1" s="1669"/>
      <c r="L1" s="1669"/>
      <c r="M1" s="1669"/>
      <c r="N1" s="1669"/>
      <c r="O1" s="1669"/>
      <c r="P1" s="1669"/>
      <c r="Q1" s="1669"/>
    </row>
    <row r="2" spans="1:18" ht="25.15" customHeight="1">
      <c r="A2" s="1662" t="s">
        <v>1876</v>
      </c>
      <c r="B2" s="1664" t="s">
        <v>2159</v>
      </c>
      <c r="C2" s="1666" t="s">
        <v>2154</v>
      </c>
      <c r="D2" s="1091" t="s">
        <v>380</v>
      </c>
      <c r="E2" s="1091" t="s">
        <v>381</v>
      </c>
      <c r="F2" s="1091" t="s">
        <v>382</v>
      </c>
      <c r="G2" s="1091" t="s">
        <v>1960</v>
      </c>
      <c r="H2" s="1091" t="s">
        <v>1961</v>
      </c>
      <c r="I2" s="1091" t="s">
        <v>385</v>
      </c>
      <c r="J2" s="1091" t="s">
        <v>1962</v>
      </c>
      <c r="K2" s="1091" t="s">
        <v>387</v>
      </c>
      <c r="L2" s="1091" t="s">
        <v>388</v>
      </c>
      <c r="M2" s="1091" t="s">
        <v>390</v>
      </c>
      <c r="N2" s="1092" t="s">
        <v>391</v>
      </c>
      <c r="O2" s="1091" t="s">
        <v>393</v>
      </c>
      <c r="P2" s="1091" t="s">
        <v>395</v>
      </c>
      <c r="Q2" s="1093" t="s">
        <v>397</v>
      </c>
    </row>
    <row r="3" spans="1:18" ht="25.15" customHeight="1">
      <c r="A3" s="1663"/>
      <c r="B3" s="1665"/>
      <c r="C3" s="1667"/>
      <c r="D3" s="592" t="s">
        <v>1963</v>
      </c>
      <c r="E3" s="592" t="s">
        <v>400</v>
      </c>
      <c r="F3" s="592" t="s">
        <v>401</v>
      </c>
      <c r="G3" s="592" t="s">
        <v>402</v>
      </c>
      <c r="H3" s="592" t="s">
        <v>403</v>
      </c>
      <c r="I3" s="592" t="s">
        <v>404</v>
      </c>
      <c r="J3" s="592" t="s">
        <v>689</v>
      </c>
      <c r="K3" s="592" t="s">
        <v>690</v>
      </c>
      <c r="L3" s="592" t="s">
        <v>691</v>
      </c>
      <c r="M3" s="592" t="s">
        <v>654</v>
      </c>
      <c r="N3" s="593" t="s">
        <v>1964</v>
      </c>
      <c r="O3" s="592" t="s">
        <v>657</v>
      </c>
      <c r="P3" s="592" t="s">
        <v>659</v>
      </c>
      <c r="Q3" s="1094" t="s">
        <v>1965</v>
      </c>
      <c r="R3" s="1090" t="s">
        <v>1987</v>
      </c>
    </row>
    <row r="4" spans="1:18" ht="23.25">
      <c r="A4" s="1086">
        <v>41</v>
      </c>
      <c r="B4" s="1095" t="s">
        <v>2156</v>
      </c>
      <c r="C4" s="595"/>
      <c r="D4" s="596"/>
      <c r="E4" s="596"/>
      <c r="F4" s="596"/>
      <c r="G4" s="596"/>
      <c r="H4" s="596"/>
      <c r="I4" s="596"/>
      <c r="J4" s="596"/>
      <c r="K4" s="596"/>
      <c r="L4" s="596"/>
      <c r="M4" s="596"/>
      <c r="N4" s="596"/>
      <c r="O4" s="596"/>
      <c r="P4" s="596"/>
      <c r="Q4" s="1096"/>
      <c r="R4" s="1090" t="s">
        <v>1987</v>
      </c>
    </row>
    <row r="5" spans="1:18" ht="23.25">
      <c r="A5" s="1087">
        <f>A4+0.01</f>
        <v>41.01</v>
      </c>
      <c r="B5" s="1097" t="s">
        <v>1966</v>
      </c>
      <c r="C5" s="597" t="s">
        <v>2158</v>
      </c>
      <c r="D5" s="600" t="s">
        <v>2160</v>
      </c>
      <c r="E5" s="600" t="s">
        <v>2160</v>
      </c>
      <c r="F5" s="600" t="s">
        <v>2160</v>
      </c>
      <c r="G5" s="600" t="s">
        <v>2160</v>
      </c>
      <c r="H5" s="600" t="s">
        <v>2160</v>
      </c>
      <c r="I5" s="600" t="s">
        <v>2160</v>
      </c>
      <c r="J5" s="600" t="s">
        <v>2160</v>
      </c>
      <c r="K5" s="600" t="s">
        <v>2160</v>
      </c>
      <c r="L5" s="600" t="s">
        <v>2160</v>
      </c>
      <c r="M5" s="600" t="s">
        <v>2160</v>
      </c>
      <c r="N5" s="598">
        <v>7000</v>
      </c>
      <c r="O5" s="598">
        <v>9000</v>
      </c>
      <c r="P5" s="598">
        <v>11000</v>
      </c>
      <c r="Q5" s="1098" t="s">
        <v>2160</v>
      </c>
      <c r="R5" s="1090" t="s">
        <v>1987</v>
      </c>
    </row>
    <row r="6" spans="1:18" ht="23.25">
      <c r="A6" s="1088">
        <f t="shared" ref="A6:A8" si="0">A5+0.01</f>
        <v>41.019999999999996</v>
      </c>
      <c r="B6" s="1099" t="s">
        <v>1980</v>
      </c>
      <c r="C6" s="597" t="s">
        <v>2158</v>
      </c>
      <c r="D6" s="600" t="s">
        <v>2160</v>
      </c>
      <c r="E6" s="600" t="s">
        <v>2160</v>
      </c>
      <c r="F6" s="600" t="s">
        <v>2160</v>
      </c>
      <c r="G6" s="600" t="s">
        <v>2160</v>
      </c>
      <c r="H6" s="600" t="s">
        <v>2160</v>
      </c>
      <c r="I6" s="600" t="s">
        <v>2160</v>
      </c>
      <c r="J6" s="600" t="s">
        <v>2160</v>
      </c>
      <c r="K6" s="600" t="s">
        <v>2160</v>
      </c>
      <c r="L6" s="600" t="s">
        <v>2160</v>
      </c>
      <c r="M6" s="600" t="s">
        <v>2160</v>
      </c>
      <c r="N6" s="598">
        <v>4500</v>
      </c>
      <c r="O6" s="598">
        <v>7450</v>
      </c>
      <c r="P6" s="600" t="s">
        <v>2160</v>
      </c>
      <c r="Q6" s="1098" t="s">
        <v>2160</v>
      </c>
      <c r="R6" s="1090" t="s">
        <v>2206</v>
      </c>
    </row>
    <row r="7" spans="1:18" ht="23.25">
      <c r="A7" s="1088">
        <f t="shared" si="0"/>
        <v>41.029999999999994</v>
      </c>
      <c r="B7" s="1099" t="s">
        <v>2237</v>
      </c>
      <c r="C7" s="597" t="s">
        <v>2158</v>
      </c>
      <c r="D7" s="600" t="s">
        <v>2160</v>
      </c>
      <c r="E7" s="600" t="s">
        <v>2160</v>
      </c>
      <c r="F7" s="600" t="s">
        <v>2160</v>
      </c>
      <c r="G7" s="600" t="s">
        <v>2160</v>
      </c>
      <c r="H7" s="600" t="s">
        <v>2160</v>
      </c>
      <c r="I7" s="600" t="s">
        <v>2160</v>
      </c>
      <c r="J7" s="600" t="s">
        <v>2160</v>
      </c>
      <c r="K7" s="600" t="s">
        <v>2160</v>
      </c>
      <c r="L7" s="600" t="s">
        <v>2160</v>
      </c>
      <c r="M7" s="600" t="s">
        <v>2160</v>
      </c>
      <c r="N7" s="598">
        <v>8090</v>
      </c>
      <c r="O7" s="598">
        <v>10400</v>
      </c>
      <c r="P7" s="600" t="s">
        <v>2160</v>
      </c>
      <c r="Q7" s="1098" t="s">
        <v>2160</v>
      </c>
      <c r="R7" s="1090" t="s">
        <v>2238</v>
      </c>
    </row>
    <row r="8" spans="1:18" ht="31.5">
      <c r="A8" s="1088">
        <f t="shared" si="0"/>
        <v>41.039999999999992</v>
      </c>
      <c r="B8" s="1097" t="s">
        <v>1981</v>
      </c>
      <c r="C8" s="597" t="s">
        <v>2158</v>
      </c>
      <c r="D8" s="600" t="s">
        <v>2160</v>
      </c>
      <c r="E8" s="600" t="s">
        <v>2160</v>
      </c>
      <c r="F8" s="600" t="s">
        <v>2160</v>
      </c>
      <c r="G8" s="600" t="s">
        <v>2160</v>
      </c>
      <c r="H8" s="600" t="s">
        <v>2160</v>
      </c>
      <c r="I8" s="600" t="s">
        <v>2160</v>
      </c>
      <c r="J8" s="600" t="s">
        <v>2160</v>
      </c>
      <c r="K8" s="600" t="s">
        <v>2160</v>
      </c>
      <c r="L8" s="600" t="s">
        <v>2160</v>
      </c>
      <c r="M8" s="600" t="s">
        <v>2160</v>
      </c>
      <c r="N8" s="600" t="s">
        <v>2160</v>
      </c>
      <c r="O8" s="598">
        <v>25000</v>
      </c>
      <c r="P8" s="600" t="s">
        <v>2160</v>
      </c>
      <c r="Q8" s="1098" t="s">
        <v>2160</v>
      </c>
      <c r="R8" s="1090" t="s">
        <v>1987</v>
      </c>
    </row>
    <row r="9" spans="1:18" ht="23.25">
      <c r="A9" s="1086">
        <v>42</v>
      </c>
      <c r="B9" s="1095" t="s">
        <v>2157</v>
      </c>
      <c r="C9" s="594"/>
      <c r="D9" s="599"/>
      <c r="E9" s="599"/>
      <c r="F9" s="599"/>
      <c r="G9" s="599"/>
      <c r="H9" s="599"/>
      <c r="I9" s="599"/>
      <c r="J9" s="599"/>
      <c r="K9" s="599"/>
      <c r="L9" s="599"/>
      <c r="M9" s="599"/>
      <c r="N9" s="599"/>
      <c r="O9" s="599"/>
      <c r="P9" s="599"/>
      <c r="Q9" s="1100"/>
      <c r="R9" s="1090" t="s">
        <v>1987</v>
      </c>
    </row>
    <row r="10" spans="1:18" ht="23.25">
      <c r="A10" s="1087">
        <f>A9+0.01</f>
        <v>42.01</v>
      </c>
      <c r="B10" s="1097" t="s">
        <v>1967</v>
      </c>
      <c r="C10" s="597" t="s">
        <v>2110</v>
      </c>
      <c r="D10" s="600" t="s">
        <v>2160</v>
      </c>
      <c r="E10" s="600" t="s">
        <v>2160</v>
      </c>
      <c r="F10" s="600" t="s">
        <v>2160</v>
      </c>
      <c r="G10" s="600" t="s">
        <v>2160</v>
      </c>
      <c r="H10" s="600" t="s">
        <v>2160</v>
      </c>
      <c r="I10" s="600" t="s">
        <v>2160</v>
      </c>
      <c r="J10" s="600" t="s">
        <v>2160</v>
      </c>
      <c r="K10" s="598">
        <v>15000</v>
      </c>
      <c r="L10" s="598">
        <v>21000</v>
      </c>
      <c r="M10" s="598">
        <v>25000</v>
      </c>
      <c r="N10" s="598">
        <v>30000</v>
      </c>
      <c r="O10" s="598">
        <v>56000</v>
      </c>
      <c r="P10" s="598">
        <v>65000</v>
      </c>
      <c r="Q10" s="1101">
        <v>75000</v>
      </c>
      <c r="R10" s="1090" t="s">
        <v>1987</v>
      </c>
    </row>
    <row r="11" spans="1:18" ht="23.25">
      <c r="A11" s="1087">
        <f t="shared" ref="A11:A25" si="1">A10+0.01</f>
        <v>42.019999999999996</v>
      </c>
      <c r="B11" s="1097" t="s">
        <v>1968</v>
      </c>
      <c r="C11" s="597" t="s">
        <v>2110</v>
      </c>
      <c r="D11" s="600" t="s">
        <v>2160</v>
      </c>
      <c r="E11" s="600" t="s">
        <v>2160</v>
      </c>
      <c r="F11" s="600" t="s">
        <v>2160</v>
      </c>
      <c r="G11" s="600" t="s">
        <v>2160</v>
      </c>
      <c r="H11" s="600" t="s">
        <v>2160</v>
      </c>
      <c r="I11" s="600" t="s">
        <v>2160</v>
      </c>
      <c r="J11" s="600" t="s">
        <v>2160</v>
      </c>
      <c r="K11" s="600" t="s">
        <v>2160</v>
      </c>
      <c r="L11" s="600" t="s">
        <v>2160</v>
      </c>
      <c r="M11" s="600" t="s">
        <v>2160</v>
      </c>
      <c r="N11" s="598">
        <v>14000</v>
      </c>
      <c r="O11" s="598">
        <v>22000</v>
      </c>
      <c r="P11" s="598">
        <v>35000</v>
      </c>
      <c r="Q11" s="1098" t="s">
        <v>2160</v>
      </c>
      <c r="R11" s="1090" t="s">
        <v>1987</v>
      </c>
    </row>
    <row r="12" spans="1:18" ht="31.5">
      <c r="A12" s="1087">
        <f t="shared" si="1"/>
        <v>42.029999999999994</v>
      </c>
      <c r="B12" s="1097" t="s">
        <v>1969</v>
      </c>
      <c r="C12" s="597" t="s">
        <v>2110</v>
      </c>
      <c r="D12" s="600" t="s">
        <v>2160</v>
      </c>
      <c r="E12" s="600" t="s">
        <v>2160</v>
      </c>
      <c r="F12" s="600" t="s">
        <v>2160</v>
      </c>
      <c r="G12" s="600" t="s">
        <v>2160</v>
      </c>
      <c r="H12" s="600" t="s">
        <v>2160</v>
      </c>
      <c r="I12" s="600" t="s">
        <v>2160</v>
      </c>
      <c r="J12" s="600" t="s">
        <v>2160</v>
      </c>
      <c r="K12" s="598">
        <v>13000</v>
      </c>
      <c r="L12" s="598">
        <v>15000</v>
      </c>
      <c r="M12" s="598">
        <v>17000</v>
      </c>
      <c r="N12" s="598">
        <v>18000</v>
      </c>
      <c r="O12" s="598">
        <v>20000</v>
      </c>
      <c r="P12" s="598">
        <v>25000</v>
      </c>
      <c r="Q12" s="1101">
        <v>30000</v>
      </c>
      <c r="R12" s="1090" t="s">
        <v>1987</v>
      </c>
    </row>
    <row r="13" spans="1:18" ht="23.25">
      <c r="A13" s="1087">
        <f t="shared" si="1"/>
        <v>42.039999999999992</v>
      </c>
      <c r="B13" s="1097" t="s">
        <v>1970</v>
      </c>
      <c r="C13" s="597" t="s">
        <v>2110</v>
      </c>
      <c r="D13" s="600" t="s">
        <v>2160</v>
      </c>
      <c r="E13" s="600" t="s">
        <v>2160</v>
      </c>
      <c r="F13" s="600" t="s">
        <v>2160</v>
      </c>
      <c r="G13" s="600" t="s">
        <v>2160</v>
      </c>
      <c r="H13" s="600" t="s">
        <v>2160</v>
      </c>
      <c r="I13" s="600" t="s">
        <v>2160</v>
      </c>
      <c r="J13" s="600" t="s">
        <v>2160</v>
      </c>
      <c r="K13" s="598">
        <v>5295</v>
      </c>
      <c r="L13" s="598">
        <v>6917</v>
      </c>
      <c r="M13" s="598">
        <v>8730</v>
      </c>
      <c r="N13" s="598">
        <v>9811</v>
      </c>
      <c r="O13" s="598">
        <v>11800</v>
      </c>
      <c r="P13" s="598">
        <v>14144</v>
      </c>
      <c r="Q13" s="1101">
        <v>19792</v>
      </c>
      <c r="R13" s="1090" t="s">
        <v>1987</v>
      </c>
    </row>
    <row r="14" spans="1:18" ht="23.25">
      <c r="A14" s="1087">
        <f t="shared" si="1"/>
        <v>42.04999999999999</v>
      </c>
      <c r="B14" s="1097" t="s">
        <v>1971</v>
      </c>
      <c r="C14" s="597" t="s">
        <v>2110</v>
      </c>
      <c r="D14" s="600" t="s">
        <v>2160</v>
      </c>
      <c r="E14" s="600" t="s">
        <v>2160</v>
      </c>
      <c r="F14" s="600" t="s">
        <v>2160</v>
      </c>
      <c r="G14" s="600" t="s">
        <v>2160</v>
      </c>
      <c r="H14" s="600" t="s">
        <v>2160</v>
      </c>
      <c r="I14" s="600" t="s">
        <v>2160</v>
      </c>
      <c r="J14" s="600" t="s">
        <v>2160</v>
      </c>
      <c r="K14" s="600" t="s">
        <v>2160</v>
      </c>
      <c r="L14" s="600" t="s">
        <v>2160</v>
      </c>
      <c r="M14" s="600" t="s">
        <v>2160</v>
      </c>
      <c r="N14" s="598">
        <v>15000</v>
      </c>
      <c r="O14" s="598">
        <v>18000</v>
      </c>
      <c r="P14" s="598">
        <v>20000</v>
      </c>
      <c r="Q14" s="1098" t="s">
        <v>2160</v>
      </c>
      <c r="R14" s="1090" t="s">
        <v>1987</v>
      </c>
    </row>
    <row r="15" spans="1:18" ht="23.25">
      <c r="A15" s="1087">
        <f t="shared" si="1"/>
        <v>42.059999999999988</v>
      </c>
      <c r="B15" s="1097" t="s">
        <v>1972</v>
      </c>
      <c r="C15" s="597" t="s">
        <v>2110</v>
      </c>
      <c r="D15" s="600" t="s">
        <v>2160</v>
      </c>
      <c r="E15" s="600" t="s">
        <v>2160</v>
      </c>
      <c r="F15" s="600" t="s">
        <v>2160</v>
      </c>
      <c r="G15" s="600" t="s">
        <v>2160</v>
      </c>
      <c r="H15" s="600" t="s">
        <v>2160</v>
      </c>
      <c r="I15" s="600" t="s">
        <v>2160</v>
      </c>
      <c r="J15" s="600" t="s">
        <v>2160</v>
      </c>
      <c r="K15" s="600" t="s">
        <v>2160</v>
      </c>
      <c r="L15" s="600" t="s">
        <v>2160</v>
      </c>
      <c r="M15" s="600" t="s">
        <v>2160</v>
      </c>
      <c r="N15" s="598">
        <v>7500</v>
      </c>
      <c r="O15" s="598">
        <v>9000</v>
      </c>
      <c r="P15" s="598">
        <v>12000</v>
      </c>
      <c r="Q15" s="1098" t="s">
        <v>2160</v>
      </c>
      <c r="R15" s="1090" t="s">
        <v>1987</v>
      </c>
    </row>
    <row r="16" spans="1:18" ht="23.25">
      <c r="A16" s="1087">
        <f t="shared" si="1"/>
        <v>42.069999999999986</v>
      </c>
      <c r="B16" s="1097" t="s">
        <v>1973</v>
      </c>
      <c r="C16" s="597" t="s">
        <v>2110</v>
      </c>
      <c r="D16" s="600" t="s">
        <v>2160</v>
      </c>
      <c r="E16" s="600" t="s">
        <v>2160</v>
      </c>
      <c r="F16" s="600" t="s">
        <v>2160</v>
      </c>
      <c r="G16" s="600" t="s">
        <v>2160</v>
      </c>
      <c r="H16" s="600" t="s">
        <v>2160</v>
      </c>
      <c r="I16" s="600" t="s">
        <v>2160</v>
      </c>
      <c r="J16" s="600" t="s">
        <v>2160</v>
      </c>
      <c r="K16" s="600" t="s">
        <v>2160</v>
      </c>
      <c r="L16" s="600" t="s">
        <v>2160</v>
      </c>
      <c r="M16" s="600" t="s">
        <v>2160</v>
      </c>
      <c r="N16" s="598">
        <v>16500</v>
      </c>
      <c r="O16" s="598">
        <v>19500</v>
      </c>
      <c r="P16" s="598">
        <v>22500</v>
      </c>
      <c r="Q16" s="1098" t="s">
        <v>2160</v>
      </c>
      <c r="R16" s="1090" t="s">
        <v>1987</v>
      </c>
    </row>
    <row r="17" spans="1:18" ht="23.25">
      <c r="A17" s="1087">
        <f t="shared" si="1"/>
        <v>42.079999999999984</v>
      </c>
      <c r="B17" s="1097" t="s">
        <v>1974</v>
      </c>
      <c r="C17" s="597" t="s">
        <v>2110</v>
      </c>
      <c r="D17" s="600" t="s">
        <v>2160</v>
      </c>
      <c r="E17" s="600" t="s">
        <v>2160</v>
      </c>
      <c r="F17" s="600" t="s">
        <v>2160</v>
      </c>
      <c r="G17" s="600" t="s">
        <v>2160</v>
      </c>
      <c r="H17" s="600" t="s">
        <v>2160</v>
      </c>
      <c r="I17" s="600" t="s">
        <v>2160</v>
      </c>
      <c r="J17" s="600" t="s">
        <v>2160</v>
      </c>
      <c r="K17" s="600" t="s">
        <v>2160</v>
      </c>
      <c r="L17" s="600" t="s">
        <v>2160</v>
      </c>
      <c r="M17" s="600" t="s">
        <v>2160</v>
      </c>
      <c r="N17" s="598">
        <v>18000</v>
      </c>
      <c r="O17" s="598">
        <v>20000</v>
      </c>
      <c r="P17" s="598">
        <v>25000</v>
      </c>
      <c r="Q17" s="1098" t="s">
        <v>2160</v>
      </c>
      <c r="R17" s="1090" t="s">
        <v>1987</v>
      </c>
    </row>
    <row r="18" spans="1:18" ht="23.25">
      <c r="A18" s="1087">
        <f t="shared" si="1"/>
        <v>42.089999999999982</v>
      </c>
      <c r="B18" s="1097" t="s">
        <v>1975</v>
      </c>
      <c r="C18" s="597" t="s">
        <v>2110</v>
      </c>
      <c r="D18" s="600" t="s">
        <v>2160</v>
      </c>
      <c r="E18" s="600" t="s">
        <v>2160</v>
      </c>
      <c r="F18" s="600" t="s">
        <v>2160</v>
      </c>
      <c r="G18" s="600" t="s">
        <v>2160</v>
      </c>
      <c r="H18" s="598">
        <v>800</v>
      </c>
      <c r="I18" s="598">
        <v>850</v>
      </c>
      <c r="J18" s="598">
        <v>960</v>
      </c>
      <c r="K18" s="598">
        <v>1200</v>
      </c>
      <c r="L18" s="598">
        <v>1300</v>
      </c>
      <c r="M18" s="598">
        <v>1500</v>
      </c>
      <c r="N18" s="598">
        <v>1800</v>
      </c>
      <c r="O18" s="598">
        <v>2300</v>
      </c>
      <c r="P18" s="598">
        <v>2500</v>
      </c>
      <c r="Q18" s="1101">
        <v>3000</v>
      </c>
      <c r="R18" s="1090" t="s">
        <v>1987</v>
      </c>
    </row>
    <row r="19" spans="1:18" ht="23.25">
      <c r="A19" s="1089">
        <f t="shared" si="1"/>
        <v>42.09999999999998</v>
      </c>
      <c r="B19" s="1097" t="s">
        <v>1976</v>
      </c>
      <c r="C19" s="597" t="s">
        <v>2110</v>
      </c>
      <c r="D19" s="600" t="s">
        <v>2160</v>
      </c>
      <c r="E19" s="600" t="s">
        <v>2160</v>
      </c>
      <c r="F19" s="600" t="s">
        <v>2160</v>
      </c>
      <c r="G19" s="600" t="s">
        <v>2160</v>
      </c>
      <c r="H19" s="600" t="s">
        <v>2160</v>
      </c>
      <c r="I19" s="600" t="s">
        <v>2160</v>
      </c>
      <c r="J19" s="600" t="s">
        <v>2160</v>
      </c>
      <c r="K19" s="600" t="s">
        <v>2160</v>
      </c>
      <c r="L19" s="600" t="s">
        <v>2160</v>
      </c>
      <c r="M19" s="600" t="s">
        <v>2160</v>
      </c>
      <c r="N19" s="598">
        <v>4300</v>
      </c>
      <c r="O19" s="598">
        <v>6000</v>
      </c>
      <c r="P19" s="598">
        <v>8300</v>
      </c>
      <c r="Q19" s="1098" t="s">
        <v>2160</v>
      </c>
      <c r="R19" s="1090" t="s">
        <v>1987</v>
      </c>
    </row>
    <row r="20" spans="1:18" ht="23.25">
      <c r="A20" s="1087">
        <f t="shared" si="1"/>
        <v>42.109999999999978</v>
      </c>
      <c r="B20" s="1097" t="s">
        <v>1977</v>
      </c>
      <c r="C20" s="597" t="s">
        <v>2110</v>
      </c>
      <c r="D20" s="600" t="s">
        <v>2160</v>
      </c>
      <c r="E20" s="600" t="s">
        <v>2160</v>
      </c>
      <c r="F20" s="600" t="s">
        <v>2160</v>
      </c>
      <c r="G20" s="600" t="s">
        <v>2160</v>
      </c>
      <c r="H20" s="600" t="s">
        <v>2160</v>
      </c>
      <c r="I20" s="600" t="s">
        <v>2160</v>
      </c>
      <c r="J20" s="600" t="s">
        <v>2160</v>
      </c>
      <c r="K20" s="600" t="s">
        <v>2160</v>
      </c>
      <c r="L20" s="598">
        <v>11500</v>
      </c>
      <c r="M20" s="598">
        <v>12500</v>
      </c>
      <c r="N20" s="598">
        <v>13500</v>
      </c>
      <c r="O20" s="598">
        <v>16000</v>
      </c>
      <c r="P20" s="598">
        <v>18050</v>
      </c>
      <c r="Q20" s="1101">
        <v>25000</v>
      </c>
      <c r="R20" s="1090" t="s">
        <v>1987</v>
      </c>
    </row>
    <row r="21" spans="1:18" ht="23.25">
      <c r="A21" s="1087">
        <f t="shared" si="1"/>
        <v>42.119999999999976</v>
      </c>
      <c r="B21" s="1102" t="s">
        <v>2239</v>
      </c>
      <c r="C21" s="597" t="s">
        <v>2110</v>
      </c>
      <c r="D21" s="600" t="s">
        <v>2160</v>
      </c>
      <c r="E21" s="600" t="s">
        <v>2160</v>
      </c>
      <c r="F21" s="600" t="s">
        <v>2160</v>
      </c>
      <c r="G21" s="600" t="s">
        <v>2160</v>
      </c>
      <c r="H21" s="600" t="s">
        <v>2160</v>
      </c>
      <c r="I21" s="600" t="s">
        <v>2160</v>
      </c>
      <c r="J21" s="600" t="s">
        <v>2160</v>
      </c>
      <c r="K21" s="600" t="s">
        <v>2160</v>
      </c>
      <c r="L21" s="598">
        <v>1492</v>
      </c>
      <c r="M21" s="600" t="s">
        <v>2160</v>
      </c>
      <c r="N21" s="1048">
        <v>2254</v>
      </c>
      <c r="O21" s="598">
        <v>2842</v>
      </c>
      <c r="P21" s="600" t="s">
        <v>2160</v>
      </c>
      <c r="Q21" s="1098" t="s">
        <v>2160</v>
      </c>
      <c r="R21" s="1090" t="s">
        <v>2242</v>
      </c>
    </row>
    <row r="22" spans="1:18" ht="23.25">
      <c r="A22" s="1087">
        <f t="shared" si="1"/>
        <v>42.129999999999974</v>
      </c>
      <c r="B22" s="1102" t="s">
        <v>2240</v>
      </c>
      <c r="C22" s="597" t="s">
        <v>2110</v>
      </c>
      <c r="D22" s="600" t="s">
        <v>2160</v>
      </c>
      <c r="E22" s="600" t="s">
        <v>2160</v>
      </c>
      <c r="F22" s="600" t="s">
        <v>2160</v>
      </c>
      <c r="G22" s="600" t="s">
        <v>2160</v>
      </c>
      <c r="H22" s="600" t="s">
        <v>2160</v>
      </c>
      <c r="I22" s="600" t="s">
        <v>2160</v>
      </c>
      <c r="J22" s="600" t="s">
        <v>2160</v>
      </c>
      <c r="K22" s="600" t="s">
        <v>2160</v>
      </c>
      <c r="L22" s="600" t="s">
        <v>2160</v>
      </c>
      <c r="M22" s="600" t="s">
        <v>2160</v>
      </c>
      <c r="N22" s="1048">
        <v>2084</v>
      </c>
      <c r="O22" s="598">
        <v>3837</v>
      </c>
      <c r="P22" s="600" t="s">
        <v>2160</v>
      </c>
      <c r="Q22" s="1098" t="s">
        <v>2160</v>
      </c>
      <c r="R22" s="1090" t="s">
        <v>2242</v>
      </c>
    </row>
    <row r="23" spans="1:18" ht="23.25">
      <c r="A23" s="1087">
        <f t="shared" si="1"/>
        <v>42.139999999999972</v>
      </c>
      <c r="B23" s="1102" t="s">
        <v>2241</v>
      </c>
      <c r="C23" s="597" t="s">
        <v>2110</v>
      </c>
      <c r="D23" s="600" t="s">
        <v>2160</v>
      </c>
      <c r="E23" s="600" t="s">
        <v>2160</v>
      </c>
      <c r="F23" s="600" t="s">
        <v>2160</v>
      </c>
      <c r="G23" s="600" t="s">
        <v>2160</v>
      </c>
      <c r="H23" s="600" t="s">
        <v>2160</v>
      </c>
      <c r="I23" s="600" t="s">
        <v>2160</v>
      </c>
      <c r="J23" s="600" t="s">
        <v>2160</v>
      </c>
      <c r="K23" s="600" t="s">
        <v>2160</v>
      </c>
      <c r="L23" s="600" t="s">
        <v>2160</v>
      </c>
      <c r="M23" s="600" t="s">
        <v>2160</v>
      </c>
      <c r="N23" s="1048">
        <v>2368</v>
      </c>
      <c r="O23" s="600" t="s">
        <v>2160</v>
      </c>
      <c r="P23" s="600" t="s">
        <v>2160</v>
      </c>
      <c r="Q23" s="1098" t="s">
        <v>2160</v>
      </c>
      <c r="R23" s="1090" t="s">
        <v>2242</v>
      </c>
    </row>
    <row r="24" spans="1:18" ht="23.25">
      <c r="A24" s="1087">
        <f t="shared" si="1"/>
        <v>42.14999999999997</v>
      </c>
      <c r="B24" s="1097" t="s">
        <v>1978</v>
      </c>
      <c r="C24" s="597" t="s">
        <v>2110</v>
      </c>
      <c r="D24" s="600" t="s">
        <v>2160</v>
      </c>
      <c r="E24" s="600" t="s">
        <v>2160</v>
      </c>
      <c r="F24" s="600" t="s">
        <v>2160</v>
      </c>
      <c r="G24" s="600" t="s">
        <v>2160</v>
      </c>
      <c r="H24" s="600" t="s">
        <v>2160</v>
      </c>
      <c r="I24" s="600" t="s">
        <v>2160</v>
      </c>
      <c r="J24" s="600" t="s">
        <v>2160</v>
      </c>
      <c r="K24" s="600" t="s">
        <v>2160</v>
      </c>
      <c r="L24" s="600" t="s">
        <v>2160</v>
      </c>
      <c r="M24" s="600" t="s">
        <v>2160</v>
      </c>
      <c r="N24" s="598">
        <v>5500</v>
      </c>
      <c r="O24" s="598">
        <v>7500</v>
      </c>
      <c r="P24" s="598">
        <v>10000</v>
      </c>
      <c r="Q24" s="1098" t="s">
        <v>2160</v>
      </c>
      <c r="R24" s="1090" t="s">
        <v>1987</v>
      </c>
    </row>
    <row r="25" spans="1:18" ht="24" thickBot="1">
      <c r="A25" s="1087">
        <f t="shared" si="1"/>
        <v>42.159999999999968</v>
      </c>
      <c r="B25" s="1103" t="s">
        <v>1979</v>
      </c>
      <c r="C25" s="1104" t="s">
        <v>2136</v>
      </c>
      <c r="D25" s="1105" t="s">
        <v>2160</v>
      </c>
      <c r="E25" s="1105" t="s">
        <v>2160</v>
      </c>
      <c r="F25" s="1105" t="s">
        <v>2160</v>
      </c>
      <c r="G25" s="1105" t="s">
        <v>2160</v>
      </c>
      <c r="H25" s="1105" t="s">
        <v>2160</v>
      </c>
      <c r="I25" s="1105" t="s">
        <v>2160</v>
      </c>
      <c r="J25" s="1105" t="s">
        <v>2160</v>
      </c>
      <c r="K25" s="1106">
        <v>2500</v>
      </c>
      <c r="L25" s="1106">
        <v>3200</v>
      </c>
      <c r="M25" s="1106">
        <v>5500</v>
      </c>
      <c r="N25" s="1106">
        <v>7500</v>
      </c>
      <c r="O25" s="1106">
        <v>9500</v>
      </c>
      <c r="P25" s="1106">
        <v>11000</v>
      </c>
      <c r="Q25" s="1107" t="s">
        <v>2160</v>
      </c>
      <c r="R25" s="1090" t="s">
        <v>1987</v>
      </c>
    </row>
  </sheetData>
  <mergeCells count="4">
    <mergeCell ref="A2:A3"/>
    <mergeCell ref="B2:B3"/>
    <mergeCell ref="C2:C3"/>
    <mergeCell ref="A1:Q1"/>
  </mergeCells>
  <printOptions horizontalCentered="1"/>
  <pageMargins left="1.24" right="0.19" top="1.03" bottom="0.73" header="0.5" footer="0.56999999999999995"/>
  <pageSetup paperSize="9" scale="76" fitToHeight="0" orientation="landscape"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3F65-531C-489A-89C8-5EC26A20267F}">
  <sheetPr>
    <tabColor rgb="FF00B050"/>
    <pageSetUpPr fitToPage="1"/>
  </sheetPr>
  <dimension ref="A1:S108"/>
  <sheetViews>
    <sheetView tabSelected="1" view="pageLayout" zoomScaleNormal="100" zoomScaleSheetLayoutView="100" workbookViewId="0">
      <selection activeCell="D24" sqref="D24"/>
    </sheetView>
  </sheetViews>
  <sheetFormatPr defaultColWidth="9.28515625" defaultRowHeight="15"/>
  <cols>
    <col min="1" max="1" width="8.28515625" style="60" bestFit="1" customWidth="1"/>
    <col min="2" max="2" width="43.85546875" style="61" customWidth="1"/>
    <col min="3" max="3" width="6" style="60" bestFit="1" customWidth="1"/>
    <col min="4" max="4" width="4.42578125" style="60" hidden="1" customWidth="1"/>
    <col min="5" max="5" width="9.7109375" style="62" hidden="1" customWidth="1"/>
    <col min="6" max="6" width="10.28515625" style="62" hidden="1" customWidth="1"/>
    <col min="7" max="7" width="4.42578125" style="62" hidden="1" customWidth="1"/>
    <col min="8" max="8" width="12.7109375" style="62" hidden="1" customWidth="1"/>
    <col min="9" max="9" width="13.7109375" style="62" hidden="1" customWidth="1"/>
    <col min="10" max="13" width="13.28515625" style="62" hidden="1" customWidth="1"/>
    <col min="14" max="14" width="11.85546875" style="13" hidden="1" customWidth="1"/>
    <col min="15" max="15" width="11.85546875" style="13" customWidth="1"/>
    <col min="16" max="16" width="15" style="13" customWidth="1"/>
    <col min="17" max="17" width="13.140625" style="13" customWidth="1"/>
    <col min="18" max="18" width="9.28515625" style="13"/>
    <col min="19" max="21" width="0" style="13" hidden="1" customWidth="1"/>
    <col min="22" max="16384" width="9.28515625" style="13"/>
  </cols>
  <sheetData>
    <row r="1" spans="1:19" ht="28.5">
      <c r="A1" s="1606" t="s">
        <v>2976</v>
      </c>
      <c r="B1" s="1606"/>
      <c r="C1" s="1606"/>
      <c r="D1" s="1606"/>
      <c r="E1" s="1606"/>
      <c r="F1" s="1606"/>
      <c r="G1" s="1606"/>
      <c r="H1" s="1606"/>
      <c r="I1" s="1606"/>
      <c r="J1" s="1606"/>
      <c r="K1" s="1606"/>
      <c r="L1" s="1606"/>
      <c r="M1" s="1606"/>
      <c r="N1" s="1606"/>
      <c r="O1" s="1606"/>
      <c r="P1" s="1606"/>
      <c r="Q1" s="1606"/>
      <c r="R1" s="1606"/>
    </row>
    <row r="2" spans="1:19" ht="56.65" customHeight="1">
      <c r="A2" s="1457" t="s">
        <v>0</v>
      </c>
      <c r="B2" s="367" t="s">
        <v>51</v>
      </c>
      <c r="C2" s="367" t="s">
        <v>8</v>
      </c>
      <c r="D2" s="318" t="s">
        <v>52</v>
      </c>
      <c r="E2" s="319" t="s">
        <v>53</v>
      </c>
      <c r="F2" s="319" t="s">
        <v>54</v>
      </c>
      <c r="G2" s="319" t="s">
        <v>55</v>
      </c>
      <c r="H2" s="320" t="s">
        <v>1415</v>
      </c>
      <c r="I2" s="320" t="s">
        <v>1419</v>
      </c>
      <c r="J2" s="320" t="s">
        <v>1417</v>
      </c>
      <c r="K2" s="320" t="s">
        <v>1428</v>
      </c>
      <c r="L2" s="320" t="s">
        <v>1432</v>
      </c>
      <c r="M2" s="320" t="s">
        <v>1463</v>
      </c>
      <c r="N2" s="1458" t="s">
        <v>2190</v>
      </c>
      <c r="O2" s="1458" t="s">
        <v>2191</v>
      </c>
      <c r="P2" s="1458" t="s">
        <v>2192</v>
      </c>
      <c r="Q2" s="1458" t="s">
        <v>2543</v>
      </c>
      <c r="R2" s="1457" t="s">
        <v>9</v>
      </c>
    </row>
    <row r="3" spans="1:19" ht="19.5">
      <c r="A3" s="1376">
        <v>1</v>
      </c>
      <c r="B3" s="612" t="s">
        <v>693</v>
      </c>
      <c r="C3" s="1430"/>
      <c r="D3" s="1431"/>
      <c r="E3" s="1431"/>
      <c r="F3" s="1431"/>
      <c r="G3" s="1431"/>
      <c r="H3" s="1431"/>
      <c r="I3" s="1431"/>
      <c r="J3" s="1431"/>
      <c r="K3" s="1431"/>
      <c r="L3" s="1431"/>
      <c r="M3" s="1431"/>
      <c r="N3" s="1431"/>
      <c r="O3" s="1431"/>
      <c r="P3" s="1431"/>
      <c r="Q3" s="1431"/>
      <c r="R3" s="1431"/>
    </row>
    <row r="4" spans="1:19" ht="19.5">
      <c r="A4" s="1459">
        <f>A3+0.01</f>
        <v>1.01</v>
      </c>
      <c r="B4" s="317" t="s">
        <v>694</v>
      </c>
      <c r="C4" s="1432" t="s">
        <v>1982</v>
      </c>
      <c r="D4" s="875"/>
      <c r="E4" s="1433"/>
      <c r="F4" s="1433"/>
      <c r="G4" s="1433"/>
      <c r="H4" s="1434">
        <v>2400</v>
      </c>
      <c r="I4" s="1434">
        <v>2520</v>
      </c>
      <c r="J4" s="1434">
        <f>I4</f>
        <v>2520</v>
      </c>
      <c r="K4" s="1434">
        <f>J4</f>
        <v>2520</v>
      </c>
      <c r="L4" s="1434">
        <f>K4</f>
        <v>2520</v>
      </c>
      <c r="M4" s="1434">
        <f>L4*1.1</f>
        <v>2772</v>
      </c>
      <c r="N4" s="1434">
        <f>M4</f>
        <v>2772</v>
      </c>
      <c r="O4" s="1435">
        <f>N4</f>
        <v>2772</v>
      </c>
      <c r="P4" s="1435">
        <f>O4</f>
        <v>2772</v>
      </c>
      <c r="Q4" s="1435">
        <v>2772</v>
      </c>
      <c r="R4" s="1460"/>
    </row>
    <row r="5" spans="1:19" ht="19.5">
      <c r="A5" s="1459">
        <f t="shared" ref="A5:A18" si="0">A4+0.01</f>
        <v>1.02</v>
      </c>
      <c r="B5" s="317" t="s">
        <v>695</v>
      </c>
      <c r="C5" s="1432" t="s">
        <v>696</v>
      </c>
      <c r="D5" s="875"/>
      <c r="E5" s="1433"/>
      <c r="F5" s="1433"/>
      <c r="G5" s="1433"/>
      <c r="H5" s="1434">
        <v>44</v>
      </c>
      <c r="I5" s="1434">
        <v>46</v>
      </c>
      <c r="J5" s="1434">
        <f t="shared" ref="J5:L20" si="1">I5</f>
        <v>46</v>
      </c>
      <c r="K5" s="1434">
        <f t="shared" si="1"/>
        <v>46</v>
      </c>
      <c r="L5" s="1434">
        <f t="shared" si="1"/>
        <v>46</v>
      </c>
      <c r="M5" s="1434">
        <f t="shared" ref="M5:M46" si="2">L5*1.1</f>
        <v>50.6</v>
      </c>
      <c r="N5" s="1434">
        <f t="shared" ref="N5:P46" si="3">M5</f>
        <v>50.6</v>
      </c>
      <c r="O5" s="1435">
        <f t="shared" si="3"/>
        <v>50.6</v>
      </c>
      <c r="P5" s="1435">
        <f t="shared" si="3"/>
        <v>50.6</v>
      </c>
      <c r="Q5" s="1435">
        <v>50.6</v>
      </c>
      <c r="R5" s="1460"/>
    </row>
    <row r="6" spans="1:19" ht="19.5">
      <c r="A6" s="1459">
        <f t="shared" si="0"/>
        <v>1.03</v>
      </c>
      <c r="B6" s="317" t="s">
        <v>697</v>
      </c>
      <c r="C6" s="1432" t="s">
        <v>696</v>
      </c>
      <c r="D6" s="875"/>
      <c r="E6" s="1433"/>
      <c r="F6" s="1433"/>
      <c r="G6" s="1433"/>
      <c r="H6" s="1434">
        <v>25</v>
      </c>
      <c r="I6" s="1434">
        <v>26</v>
      </c>
      <c r="J6" s="1434">
        <f t="shared" si="1"/>
        <v>26</v>
      </c>
      <c r="K6" s="1434">
        <f t="shared" si="1"/>
        <v>26</v>
      </c>
      <c r="L6" s="1434">
        <f t="shared" si="1"/>
        <v>26</v>
      </c>
      <c r="M6" s="1434">
        <f t="shared" si="2"/>
        <v>28.6</v>
      </c>
      <c r="N6" s="1434">
        <f t="shared" si="3"/>
        <v>28.6</v>
      </c>
      <c r="O6" s="1435">
        <f t="shared" si="3"/>
        <v>28.6</v>
      </c>
      <c r="P6" s="1435">
        <f t="shared" si="3"/>
        <v>28.6</v>
      </c>
      <c r="Q6" s="1435">
        <v>28.6</v>
      </c>
      <c r="R6" s="1460"/>
    </row>
    <row r="7" spans="1:19" ht="19.5">
      <c r="A7" s="1459">
        <f t="shared" si="0"/>
        <v>1.04</v>
      </c>
      <c r="B7" s="317" t="s">
        <v>698</v>
      </c>
      <c r="C7" s="1432" t="s">
        <v>696</v>
      </c>
      <c r="D7" s="875"/>
      <c r="E7" s="1433"/>
      <c r="F7" s="1433"/>
      <c r="G7" s="1433"/>
      <c r="H7" s="1434">
        <v>26</v>
      </c>
      <c r="I7" s="1434">
        <v>27</v>
      </c>
      <c r="J7" s="1434">
        <f t="shared" si="1"/>
        <v>27</v>
      </c>
      <c r="K7" s="1434">
        <f t="shared" si="1"/>
        <v>27</v>
      </c>
      <c r="L7" s="1434">
        <f t="shared" si="1"/>
        <v>27</v>
      </c>
      <c r="M7" s="1434">
        <f t="shared" si="2"/>
        <v>29.700000000000003</v>
      </c>
      <c r="N7" s="1434">
        <f t="shared" si="3"/>
        <v>29.700000000000003</v>
      </c>
      <c r="O7" s="1435">
        <f t="shared" si="3"/>
        <v>29.700000000000003</v>
      </c>
      <c r="P7" s="1435">
        <f t="shared" si="3"/>
        <v>29.700000000000003</v>
      </c>
      <c r="Q7" s="1435">
        <v>29.700000000000003</v>
      </c>
      <c r="R7" s="1460"/>
    </row>
    <row r="8" spans="1:19" ht="19.5">
      <c r="A8" s="1459">
        <f t="shared" si="0"/>
        <v>1.05</v>
      </c>
      <c r="B8" s="317" t="s">
        <v>699</v>
      </c>
      <c r="C8" s="1432" t="s">
        <v>696</v>
      </c>
      <c r="D8" s="875"/>
      <c r="E8" s="1433"/>
      <c r="F8" s="1433"/>
      <c r="G8" s="1433"/>
      <c r="H8" s="1434">
        <v>95</v>
      </c>
      <c r="I8" s="1434">
        <v>100</v>
      </c>
      <c r="J8" s="1434">
        <f t="shared" si="1"/>
        <v>100</v>
      </c>
      <c r="K8" s="1434">
        <f t="shared" si="1"/>
        <v>100</v>
      </c>
      <c r="L8" s="1434">
        <f t="shared" si="1"/>
        <v>100</v>
      </c>
      <c r="M8" s="1434">
        <f t="shared" si="2"/>
        <v>110.00000000000001</v>
      </c>
      <c r="N8" s="1434">
        <f t="shared" si="3"/>
        <v>110.00000000000001</v>
      </c>
      <c r="O8" s="1435">
        <f t="shared" si="3"/>
        <v>110.00000000000001</v>
      </c>
      <c r="P8" s="1435">
        <f t="shared" si="3"/>
        <v>110.00000000000001</v>
      </c>
      <c r="Q8" s="1435">
        <v>110.00000000000001</v>
      </c>
      <c r="R8" s="1460"/>
    </row>
    <row r="9" spans="1:19" ht="19.5">
      <c r="A9" s="1459">
        <f t="shared" si="0"/>
        <v>1.06</v>
      </c>
      <c r="B9" s="317" t="s">
        <v>700</v>
      </c>
      <c r="C9" s="1432" t="s">
        <v>696</v>
      </c>
      <c r="D9" s="875"/>
      <c r="E9" s="1433"/>
      <c r="F9" s="1433"/>
      <c r="G9" s="1433"/>
      <c r="H9" s="1434">
        <v>86</v>
      </c>
      <c r="I9" s="1434">
        <v>90</v>
      </c>
      <c r="J9" s="1434">
        <f t="shared" si="1"/>
        <v>90</v>
      </c>
      <c r="K9" s="1434">
        <f t="shared" si="1"/>
        <v>90</v>
      </c>
      <c r="L9" s="1434">
        <f t="shared" si="1"/>
        <v>90</v>
      </c>
      <c r="M9" s="1434">
        <f t="shared" si="2"/>
        <v>99.000000000000014</v>
      </c>
      <c r="N9" s="1434">
        <f t="shared" si="3"/>
        <v>99.000000000000014</v>
      </c>
      <c r="O9" s="1435">
        <f t="shared" si="3"/>
        <v>99.000000000000014</v>
      </c>
      <c r="P9" s="1435">
        <f t="shared" si="3"/>
        <v>99.000000000000014</v>
      </c>
      <c r="Q9" s="1435">
        <v>99.000000000000014</v>
      </c>
      <c r="R9" s="1460"/>
    </row>
    <row r="10" spans="1:19" ht="19.5">
      <c r="A10" s="1459">
        <f t="shared" si="0"/>
        <v>1.07</v>
      </c>
      <c r="B10" s="317" t="s">
        <v>701</v>
      </c>
      <c r="C10" s="1432" t="s">
        <v>696</v>
      </c>
      <c r="D10" s="875"/>
      <c r="E10" s="1433"/>
      <c r="F10" s="1433"/>
      <c r="G10" s="1433"/>
      <c r="H10" s="1434">
        <v>85</v>
      </c>
      <c r="I10" s="1434">
        <v>89</v>
      </c>
      <c r="J10" s="1434">
        <f t="shared" si="1"/>
        <v>89</v>
      </c>
      <c r="K10" s="1434">
        <f t="shared" si="1"/>
        <v>89</v>
      </c>
      <c r="L10" s="1434">
        <f t="shared" si="1"/>
        <v>89</v>
      </c>
      <c r="M10" s="1434">
        <f t="shared" si="2"/>
        <v>97.9</v>
      </c>
      <c r="N10" s="1434">
        <f t="shared" si="3"/>
        <v>97.9</v>
      </c>
      <c r="O10" s="1435">
        <f t="shared" si="3"/>
        <v>97.9</v>
      </c>
      <c r="P10" s="1435">
        <f t="shared" si="3"/>
        <v>97.9</v>
      </c>
      <c r="Q10" s="1435">
        <v>97.9</v>
      </c>
      <c r="R10" s="1460"/>
    </row>
    <row r="11" spans="1:19" ht="19.5">
      <c r="A11" s="1459">
        <f t="shared" si="0"/>
        <v>1.08</v>
      </c>
      <c r="B11" s="317" t="s">
        <v>702</v>
      </c>
      <c r="C11" s="1432" t="s">
        <v>356</v>
      </c>
      <c r="D11" s="875"/>
      <c r="E11" s="1433"/>
      <c r="F11" s="1433"/>
      <c r="G11" s="1433"/>
      <c r="H11" s="1434">
        <v>2000</v>
      </c>
      <c r="I11" s="1434">
        <v>2100</v>
      </c>
      <c r="J11" s="1434">
        <f t="shared" si="1"/>
        <v>2100</v>
      </c>
      <c r="K11" s="1434">
        <f t="shared" si="1"/>
        <v>2100</v>
      </c>
      <c r="L11" s="1434">
        <f t="shared" si="1"/>
        <v>2100</v>
      </c>
      <c r="M11" s="1434">
        <f t="shared" si="2"/>
        <v>2310</v>
      </c>
      <c r="N11" s="1434">
        <f t="shared" si="3"/>
        <v>2310</v>
      </c>
      <c r="O11" s="1435">
        <f t="shared" si="3"/>
        <v>2310</v>
      </c>
      <c r="P11" s="1435">
        <f t="shared" si="3"/>
        <v>2310</v>
      </c>
      <c r="Q11" s="1435">
        <v>2310</v>
      </c>
      <c r="R11" s="1460"/>
    </row>
    <row r="12" spans="1:19" ht="19.5">
      <c r="A12" s="1459">
        <f t="shared" si="0"/>
        <v>1.0900000000000001</v>
      </c>
      <c r="B12" s="317" t="s">
        <v>703</v>
      </c>
      <c r="C12" s="1432" t="s">
        <v>356</v>
      </c>
      <c r="D12" s="875"/>
      <c r="E12" s="1433"/>
      <c r="F12" s="1433"/>
      <c r="G12" s="1433"/>
      <c r="H12" s="1434">
        <v>3500</v>
      </c>
      <c r="I12" s="1434">
        <v>3675</v>
      </c>
      <c r="J12" s="1434">
        <f t="shared" si="1"/>
        <v>3675</v>
      </c>
      <c r="K12" s="1434">
        <f t="shared" si="1"/>
        <v>3675</v>
      </c>
      <c r="L12" s="1434">
        <f t="shared" si="1"/>
        <v>3675</v>
      </c>
      <c r="M12" s="1434">
        <f t="shared" si="2"/>
        <v>4042.5000000000005</v>
      </c>
      <c r="N12" s="1434">
        <f t="shared" si="3"/>
        <v>4042.5000000000005</v>
      </c>
      <c r="O12" s="1435">
        <f t="shared" si="3"/>
        <v>4042.5000000000005</v>
      </c>
      <c r="P12" s="1435">
        <f t="shared" si="3"/>
        <v>4042.5000000000005</v>
      </c>
      <c r="Q12" s="1435">
        <v>4042.5000000000005</v>
      </c>
      <c r="R12" s="1460"/>
    </row>
    <row r="13" spans="1:19" ht="28.5">
      <c r="A13" s="1459">
        <f t="shared" si="0"/>
        <v>1.1000000000000001</v>
      </c>
      <c r="B13" s="317" t="s">
        <v>2208</v>
      </c>
      <c r="C13" s="1432" t="s">
        <v>356</v>
      </c>
      <c r="D13" s="875"/>
      <c r="E13" s="1433"/>
      <c r="F13" s="1433"/>
      <c r="G13" s="1433"/>
      <c r="H13" s="1434"/>
      <c r="I13" s="1434"/>
      <c r="J13" s="1434"/>
      <c r="K13" s="1434"/>
      <c r="L13" s="1434"/>
      <c r="M13" s="1434"/>
      <c r="N13" s="735" t="s">
        <v>2160</v>
      </c>
      <c r="O13" s="1468">
        <v>0</v>
      </c>
      <c r="P13" s="1435">
        <v>4950</v>
      </c>
      <c r="Q13" s="1435">
        <v>4950</v>
      </c>
      <c r="R13" s="281"/>
      <c r="S13" s="3" t="s">
        <v>2207</v>
      </c>
    </row>
    <row r="14" spans="1:19" ht="28.5">
      <c r="A14" s="1459">
        <f t="shared" si="0"/>
        <v>1.1100000000000001</v>
      </c>
      <c r="B14" s="317" t="s">
        <v>2209</v>
      </c>
      <c r="C14" s="1432" t="s">
        <v>356</v>
      </c>
      <c r="D14" s="875"/>
      <c r="E14" s="1433"/>
      <c r="F14" s="1433"/>
      <c r="G14" s="1433"/>
      <c r="H14" s="1434"/>
      <c r="I14" s="1434"/>
      <c r="J14" s="1434"/>
      <c r="K14" s="1434"/>
      <c r="L14" s="1434"/>
      <c r="M14" s="1434"/>
      <c r="N14" s="735" t="s">
        <v>2160</v>
      </c>
      <c r="O14" s="1468">
        <v>0</v>
      </c>
      <c r="P14" s="1435">
        <v>6000</v>
      </c>
      <c r="Q14" s="1435">
        <v>6000</v>
      </c>
      <c r="R14" s="281"/>
      <c r="S14" s="3" t="s">
        <v>2207</v>
      </c>
    </row>
    <row r="15" spans="1:19" ht="28.5">
      <c r="A15" s="1459">
        <f t="shared" si="0"/>
        <v>1.1200000000000001</v>
      </c>
      <c r="B15" s="317" t="s">
        <v>2211</v>
      </c>
      <c r="C15" s="1432" t="s">
        <v>356</v>
      </c>
      <c r="D15" s="875"/>
      <c r="E15" s="1433"/>
      <c r="F15" s="1433"/>
      <c r="G15" s="1433"/>
      <c r="H15" s="1434"/>
      <c r="I15" s="1434"/>
      <c r="J15" s="1434"/>
      <c r="K15" s="1434"/>
      <c r="L15" s="1434"/>
      <c r="M15" s="1434"/>
      <c r="N15" s="735" t="s">
        <v>2160</v>
      </c>
      <c r="O15" s="1468">
        <v>0</v>
      </c>
      <c r="P15" s="1435">
        <v>4500</v>
      </c>
      <c r="Q15" s="1435">
        <v>4500</v>
      </c>
      <c r="R15" s="281"/>
      <c r="S15" s="3" t="s">
        <v>2207</v>
      </c>
    </row>
    <row r="16" spans="1:19" ht="28.5">
      <c r="A16" s="1459">
        <f t="shared" si="0"/>
        <v>1.1300000000000001</v>
      </c>
      <c r="B16" s="317" t="s">
        <v>2212</v>
      </c>
      <c r="C16" s="1432" t="s">
        <v>356</v>
      </c>
      <c r="D16" s="875"/>
      <c r="E16" s="1433"/>
      <c r="F16" s="1433"/>
      <c r="G16" s="1433"/>
      <c r="H16" s="1434"/>
      <c r="I16" s="1434"/>
      <c r="J16" s="1434"/>
      <c r="K16" s="1434"/>
      <c r="L16" s="1434"/>
      <c r="M16" s="1434"/>
      <c r="N16" s="735" t="s">
        <v>2160</v>
      </c>
      <c r="O16" s="1468">
        <v>0</v>
      </c>
      <c r="P16" s="1435">
        <v>5500</v>
      </c>
      <c r="Q16" s="1435">
        <v>5500</v>
      </c>
      <c r="R16" s="281"/>
      <c r="S16" s="3" t="s">
        <v>2207</v>
      </c>
    </row>
    <row r="17" spans="1:19" ht="28.5">
      <c r="A17" s="1459">
        <f t="shared" si="0"/>
        <v>1.1400000000000001</v>
      </c>
      <c r="B17" s="1436" t="s">
        <v>2210</v>
      </c>
      <c r="C17" s="1432" t="s">
        <v>356</v>
      </c>
      <c r="D17" s="875"/>
      <c r="E17" s="1433"/>
      <c r="F17" s="1433"/>
      <c r="G17" s="1433"/>
      <c r="H17" s="1434"/>
      <c r="I17" s="1434"/>
      <c r="J17" s="1434"/>
      <c r="K17" s="1434"/>
      <c r="L17" s="1434"/>
      <c r="M17" s="1434"/>
      <c r="N17" s="735" t="s">
        <v>2160</v>
      </c>
      <c r="O17" s="1468">
        <v>0</v>
      </c>
      <c r="P17" s="1435">
        <v>6500</v>
      </c>
      <c r="Q17" s="1435">
        <v>6500</v>
      </c>
      <c r="R17" s="281"/>
      <c r="S17" s="3" t="s">
        <v>2207</v>
      </c>
    </row>
    <row r="18" spans="1:19" ht="28.5">
      <c r="A18" s="1459">
        <f t="shared" si="0"/>
        <v>1.1500000000000001</v>
      </c>
      <c r="B18" s="1436" t="s">
        <v>2213</v>
      </c>
      <c r="C18" s="1432" t="s">
        <v>356</v>
      </c>
      <c r="D18" s="875"/>
      <c r="E18" s="1433"/>
      <c r="F18" s="1433"/>
      <c r="G18" s="1433"/>
      <c r="H18" s="1434"/>
      <c r="I18" s="1434"/>
      <c r="J18" s="1434"/>
      <c r="K18" s="1434"/>
      <c r="L18" s="1434"/>
      <c r="M18" s="1434"/>
      <c r="N18" s="735" t="s">
        <v>2160</v>
      </c>
      <c r="O18" s="1468">
        <v>0</v>
      </c>
      <c r="P18" s="1435">
        <v>7500</v>
      </c>
      <c r="Q18" s="1435">
        <v>7500</v>
      </c>
      <c r="R18" s="281"/>
      <c r="S18" s="3" t="s">
        <v>2207</v>
      </c>
    </row>
    <row r="19" spans="1:19" ht="23.25">
      <c r="A19" s="1461">
        <v>2</v>
      </c>
      <c r="B19" s="1437" t="s">
        <v>704</v>
      </c>
      <c r="C19" s="1430"/>
      <c r="D19" s="1438"/>
      <c r="E19" s="1439"/>
      <c r="F19" s="1439"/>
      <c r="G19" s="1439"/>
      <c r="H19" s="1440"/>
      <c r="I19" s="1440"/>
      <c r="J19" s="1440"/>
      <c r="K19" s="1440"/>
      <c r="L19" s="1440"/>
      <c r="M19" s="1440"/>
      <c r="N19" s="1440"/>
      <c r="O19" s="1441"/>
      <c r="P19" s="1441"/>
      <c r="Q19" s="1441"/>
      <c r="R19" s="1462"/>
    </row>
    <row r="20" spans="1:19" ht="19.5">
      <c r="A20" s="1459">
        <f>A19+0.01</f>
        <v>2.0099999999999998</v>
      </c>
      <c r="B20" s="1436" t="s">
        <v>705</v>
      </c>
      <c r="C20" s="1432" t="s">
        <v>696</v>
      </c>
      <c r="D20" s="875"/>
      <c r="E20" s="1433"/>
      <c r="F20" s="1433"/>
      <c r="G20" s="1433"/>
      <c r="H20" s="1434">
        <v>110</v>
      </c>
      <c r="I20" s="1434">
        <v>116</v>
      </c>
      <c r="J20" s="1434">
        <f>I20</f>
        <v>116</v>
      </c>
      <c r="K20" s="1434">
        <f t="shared" si="1"/>
        <v>116</v>
      </c>
      <c r="L20" s="1434">
        <f t="shared" si="1"/>
        <v>116</v>
      </c>
      <c r="M20" s="1434">
        <f t="shared" si="2"/>
        <v>127.60000000000001</v>
      </c>
      <c r="N20" s="1434">
        <f t="shared" si="3"/>
        <v>127.60000000000001</v>
      </c>
      <c r="O20" s="1435">
        <f t="shared" si="3"/>
        <v>127.60000000000001</v>
      </c>
      <c r="P20" s="1435">
        <f t="shared" si="3"/>
        <v>127.60000000000001</v>
      </c>
      <c r="Q20" s="1435">
        <v>127.60000000000001</v>
      </c>
      <c r="R20" s="1460"/>
    </row>
    <row r="21" spans="1:19" ht="19.5">
      <c r="A21" s="1459">
        <f t="shared" ref="A21:A31" si="4">A20+0.01</f>
        <v>2.0199999999999996</v>
      </c>
      <c r="B21" s="1436" t="s">
        <v>706</v>
      </c>
      <c r="C21" s="1432" t="s">
        <v>356</v>
      </c>
      <c r="D21" s="875"/>
      <c r="E21" s="1433"/>
      <c r="F21" s="1433"/>
      <c r="G21" s="1433"/>
      <c r="H21" s="1434">
        <v>2500</v>
      </c>
      <c r="I21" s="1434">
        <v>2625</v>
      </c>
      <c r="J21" s="1434">
        <f t="shared" ref="J21:L36" si="5">I21</f>
        <v>2625</v>
      </c>
      <c r="K21" s="1434">
        <f t="shared" si="5"/>
        <v>2625</v>
      </c>
      <c r="L21" s="1434">
        <f t="shared" si="5"/>
        <v>2625</v>
      </c>
      <c r="M21" s="1434">
        <f t="shared" si="2"/>
        <v>2887.5000000000005</v>
      </c>
      <c r="N21" s="1434">
        <f t="shared" si="3"/>
        <v>2887.5000000000005</v>
      </c>
      <c r="O21" s="1435">
        <f t="shared" si="3"/>
        <v>2887.5000000000005</v>
      </c>
      <c r="P21" s="1435">
        <f t="shared" si="3"/>
        <v>2887.5000000000005</v>
      </c>
      <c r="Q21" s="1435">
        <v>2887.5000000000005</v>
      </c>
      <c r="R21" s="1460"/>
    </row>
    <row r="22" spans="1:19" ht="19.5">
      <c r="A22" s="1459">
        <f t="shared" si="4"/>
        <v>2.0299999999999994</v>
      </c>
      <c r="B22" s="1436" t="s">
        <v>707</v>
      </c>
      <c r="C22" s="1432" t="s">
        <v>356</v>
      </c>
      <c r="D22" s="875"/>
      <c r="E22" s="1433"/>
      <c r="F22" s="1433"/>
      <c r="G22" s="1433"/>
      <c r="H22" s="1434">
        <v>235</v>
      </c>
      <c r="I22" s="1434">
        <v>247</v>
      </c>
      <c r="J22" s="1434">
        <f t="shared" si="5"/>
        <v>247</v>
      </c>
      <c r="K22" s="1434">
        <f t="shared" si="5"/>
        <v>247</v>
      </c>
      <c r="L22" s="1434">
        <f t="shared" si="5"/>
        <v>247</v>
      </c>
      <c r="M22" s="1434">
        <f t="shared" si="2"/>
        <v>271.70000000000005</v>
      </c>
      <c r="N22" s="1434">
        <f t="shared" si="3"/>
        <v>271.70000000000005</v>
      </c>
      <c r="O22" s="1435">
        <f t="shared" si="3"/>
        <v>271.70000000000005</v>
      </c>
      <c r="P22" s="1435">
        <f t="shared" si="3"/>
        <v>271.70000000000005</v>
      </c>
      <c r="Q22" s="1435">
        <v>271.70000000000005</v>
      </c>
      <c r="R22" s="1460"/>
    </row>
    <row r="23" spans="1:19" ht="19.5">
      <c r="A23" s="1459">
        <f t="shared" si="4"/>
        <v>2.0399999999999991</v>
      </c>
      <c r="B23" s="1436" t="s">
        <v>708</v>
      </c>
      <c r="C23" s="1432" t="s">
        <v>356</v>
      </c>
      <c r="D23" s="875"/>
      <c r="E23" s="1433"/>
      <c r="F23" s="1433"/>
      <c r="G23" s="1433"/>
      <c r="H23" s="1434">
        <v>950</v>
      </c>
      <c r="I23" s="1434">
        <v>998</v>
      </c>
      <c r="J23" s="1434">
        <f t="shared" si="5"/>
        <v>998</v>
      </c>
      <c r="K23" s="1434">
        <f t="shared" si="5"/>
        <v>998</v>
      </c>
      <c r="L23" s="1434">
        <f t="shared" si="5"/>
        <v>998</v>
      </c>
      <c r="M23" s="1434">
        <f t="shared" si="2"/>
        <v>1097.8000000000002</v>
      </c>
      <c r="N23" s="1434">
        <f t="shared" si="3"/>
        <v>1097.8000000000002</v>
      </c>
      <c r="O23" s="1435">
        <f t="shared" si="3"/>
        <v>1097.8000000000002</v>
      </c>
      <c r="P23" s="1435">
        <f t="shared" si="3"/>
        <v>1097.8000000000002</v>
      </c>
      <c r="Q23" s="1435">
        <v>1097.8000000000002</v>
      </c>
      <c r="R23" s="1460"/>
    </row>
    <row r="24" spans="1:19" ht="19.5">
      <c r="A24" s="1459">
        <f t="shared" si="4"/>
        <v>2.0499999999999989</v>
      </c>
      <c r="B24" s="1436" t="s">
        <v>709</v>
      </c>
      <c r="C24" s="1432" t="s">
        <v>356</v>
      </c>
      <c r="D24" s="875"/>
      <c r="E24" s="1433"/>
      <c r="F24" s="1433"/>
      <c r="G24" s="1433"/>
      <c r="H24" s="1434">
        <v>222.2</v>
      </c>
      <c r="I24" s="1434">
        <v>233</v>
      </c>
      <c r="J24" s="1434">
        <f t="shared" si="5"/>
        <v>233</v>
      </c>
      <c r="K24" s="1434">
        <f t="shared" si="5"/>
        <v>233</v>
      </c>
      <c r="L24" s="1434">
        <f t="shared" si="5"/>
        <v>233</v>
      </c>
      <c r="M24" s="1434">
        <f t="shared" si="2"/>
        <v>256.3</v>
      </c>
      <c r="N24" s="1434">
        <f t="shared" si="3"/>
        <v>256.3</v>
      </c>
      <c r="O24" s="1435">
        <f t="shared" si="3"/>
        <v>256.3</v>
      </c>
      <c r="P24" s="1435">
        <f t="shared" si="3"/>
        <v>256.3</v>
      </c>
      <c r="Q24" s="1435">
        <v>256.3</v>
      </c>
      <c r="R24" s="1460"/>
    </row>
    <row r="25" spans="1:19" ht="19.5">
      <c r="A25" s="1459">
        <f t="shared" si="4"/>
        <v>2.0599999999999987</v>
      </c>
      <c r="B25" s="1436" t="s">
        <v>710</v>
      </c>
      <c r="C25" s="1432" t="s">
        <v>356</v>
      </c>
      <c r="D25" s="875"/>
      <c r="E25" s="1433"/>
      <c r="F25" s="1433"/>
      <c r="G25" s="1433"/>
      <c r="H25" s="1434">
        <v>4500</v>
      </c>
      <c r="I25" s="1434">
        <v>4725</v>
      </c>
      <c r="J25" s="1434">
        <f t="shared" si="5"/>
        <v>4725</v>
      </c>
      <c r="K25" s="1434">
        <f t="shared" si="5"/>
        <v>4725</v>
      </c>
      <c r="L25" s="1434">
        <f t="shared" si="5"/>
        <v>4725</v>
      </c>
      <c r="M25" s="1434">
        <f t="shared" si="2"/>
        <v>5197.5</v>
      </c>
      <c r="N25" s="1434">
        <f t="shared" si="3"/>
        <v>5197.5</v>
      </c>
      <c r="O25" s="1435">
        <f t="shared" si="3"/>
        <v>5197.5</v>
      </c>
      <c r="P25" s="1435">
        <f t="shared" si="3"/>
        <v>5197.5</v>
      </c>
      <c r="Q25" s="1435">
        <v>5197.5</v>
      </c>
      <c r="R25" s="1460"/>
    </row>
    <row r="26" spans="1:19" ht="19.5">
      <c r="A26" s="1459">
        <f t="shared" si="4"/>
        <v>2.0699999999999985</v>
      </c>
      <c r="B26" s="1436" t="s">
        <v>711</v>
      </c>
      <c r="C26" s="1432" t="s">
        <v>356</v>
      </c>
      <c r="D26" s="875"/>
      <c r="E26" s="1433"/>
      <c r="F26" s="1433"/>
      <c r="G26" s="1433"/>
      <c r="H26" s="1434">
        <v>300</v>
      </c>
      <c r="I26" s="1434">
        <v>315</v>
      </c>
      <c r="J26" s="1434">
        <f t="shared" si="5"/>
        <v>315</v>
      </c>
      <c r="K26" s="1434">
        <f t="shared" si="5"/>
        <v>315</v>
      </c>
      <c r="L26" s="1434">
        <f t="shared" si="5"/>
        <v>315</v>
      </c>
      <c r="M26" s="1434">
        <f t="shared" si="2"/>
        <v>346.5</v>
      </c>
      <c r="N26" s="1434">
        <f t="shared" si="3"/>
        <v>346.5</v>
      </c>
      <c r="O26" s="1435">
        <f t="shared" si="3"/>
        <v>346.5</v>
      </c>
      <c r="P26" s="1435">
        <f t="shared" si="3"/>
        <v>346.5</v>
      </c>
      <c r="Q26" s="1435">
        <v>346.5</v>
      </c>
      <c r="R26" s="1460"/>
    </row>
    <row r="27" spans="1:19" ht="19.5">
      <c r="A27" s="1459">
        <f t="shared" si="4"/>
        <v>2.0799999999999983</v>
      </c>
      <c r="B27" s="1436" t="s">
        <v>712</v>
      </c>
      <c r="C27" s="1432" t="s">
        <v>356</v>
      </c>
      <c r="D27" s="875"/>
      <c r="E27" s="1433"/>
      <c r="F27" s="1433"/>
      <c r="G27" s="1433"/>
      <c r="H27" s="1434">
        <v>92</v>
      </c>
      <c r="I27" s="1434">
        <v>97</v>
      </c>
      <c r="J27" s="1434">
        <f t="shared" si="5"/>
        <v>97</v>
      </c>
      <c r="K27" s="1434">
        <f t="shared" si="5"/>
        <v>97</v>
      </c>
      <c r="L27" s="1434">
        <f t="shared" si="5"/>
        <v>97</v>
      </c>
      <c r="M27" s="1434">
        <f t="shared" si="2"/>
        <v>106.7</v>
      </c>
      <c r="N27" s="1434">
        <f t="shared" si="3"/>
        <v>106.7</v>
      </c>
      <c r="O27" s="1435">
        <f t="shared" si="3"/>
        <v>106.7</v>
      </c>
      <c r="P27" s="1435">
        <f t="shared" si="3"/>
        <v>106.7</v>
      </c>
      <c r="Q27" s="1435">
        <v>106.7</v>
      </c>
      <c r="R27" s="1460"/>
    </row>
    <row r="28" spans="1:19" ht="19.5">
      <c r="A28" s="1459">
        <f t="shared" si="4"/>
        <v>2.0899999999999981</v>
      </c>
      <c r="B28" s="1436" t="s">
        <v>713</v>
      </c>
      <c r="C28" s="1432" t="s">
        <v>714</v>
      </c>
      <c r="D28" s="875"/>
      <c r="E28" s="1433"/>
      <c r="F28" s="1433"/>
      <c r="G28" s="1433"/>
      <c r="H28" s="1434">
        <v>650</v>
      </c>
      <c r="I28" s="1434">
        <v>683</v>
      </c>
      <c r="J28" s="1434">
        <f t="shared" si="5"/>
        <v>683</v>
      </c>
      <c r="K28" s="1434">
        <f t="shared" si="5"/>
        <v>683</v>
      </c>
      <c r="L28" s="1434">
        <f t="shared" si="5"/>
        <v>683</v>
      </c>
      <c r="M28" s="1434">
        <f t="shared" si="2"/>
        <v>751.30000000000007</v>
      </c>
      <c r="N28" s="1434">
        <f t="shared" si="3"/>
        <v>751.30000000000007</v>
      </c>
      <c r="O28" s="1435">
        <f t="shared" si="3"/>
        <v>751.30000000000007</v>
      </c>
      <c r="P28" s="1435">
        <f t="shared" si="3"/>
        <v>751.30000000000007</v>
      </c>
      <c r="Q28" s="1435">
        <v>751.30000000000007</v>
      </c>
      <c r="R28" s="1460"/>
    </row>
    <row r="29" spans="1:19" ht="19.5">
      <c r="A29" s="1459">
        <f t="shared" si="4"/>
        <v>2.0999999999999979</v>
      </c>
      <c r="B29" s="1436" t="s">
        <v>715</v>
      </c>
      <c r="C29" s="1432" t="s">
        <v>714</v>
      </c>
      <c r="D29" s="875"/>
      <c r="E29" s="1433"/>
      <c r="F29" s="1433"/>
      <c r="G29" s="1433"/>
      <c r="H29" s="1434">
        <v>2200</v>
      </c>
      <c r="I29" s="1434">
        <v>2310</v>
      </c>
      <c r="J29" s="1434">
        <f t="shared" si="5"/>
        <v>2310</v>
      </c>
      <c r="K29" s="1434">
        <f t="shared" si="5"/>
        <v>2310</v>
      </c>
      <c r="L29" s="1434">
        <f t="shared" si="5"/>
        <v>2310</v>
      </c>
      <c r="M29" s="1434">
        <f t="shared" si="2"/>
        <v>2541</v>
      </c>
      <c r="N29" s="1434">
        <f t="shared" si="3"/>
        <v>2541</v>
      </c>
      <c r="O29" s="1435">
        <f t="shared" si="3"/>
        <v>2541</v>
      </c>
      <c r="P29" s="1435">
        <f t="shared" si="3"/>
        <v>2541</v>
      </c>
      <c r="Q29" s="1435">
        <v>2541</v>
      </c>
      <c r="R29" s="1460"/>
    </row>
    <row r="30" spans="1:19" ht="19.5">
      <c r="A30" s="1459">
        <f t="shared" si="4"/>
        <v>2.1099999999999977</v>
      </c>
      <c r="B30" s="1436" t="s">
        <v>716</v>
      </c>
      <c r="C30" s="1432" t="s">
        <v>356</v>
      </c>
      <c r="D30" s="875"/>
      <c r="E30" s="1433"/>
      <c r="F30" s="1433"/>
      <c r="G30" s="1433"/>
      <c r="H30" s="1434">
        <v>3200</v>
      </c>
      <c r="I30" s="1434">
        <v>3360</v>
      </c>
      <c r="J30" s="1434">
        <f t="shared" si="5"/>
        <v>3360</v>
      </c>
      <c r="K30" s="1434">
        <f t="shared" si="5"/>
        <v>3360</v>
      </c>
      <c r="L30" s="1434">
        <f t="shared" si="5"/>
        <v>3360</v>
      </c>
      <c r="M30" s="1434">
        <f t="shared" si="2"/>
        <v>3696.0000000000005</v>
      </c>
      <c r="N30" s="1434">
        <f t="shared" si="3"/>
        <v>3696.0000000000005</v>
      </c>
      <c r="O30" s="1435">
        <f t="shared" si="3"/>
        <v>3696.0000000000005</v>
      </c>
      <c r="P30" s="1435">
        <f t="shared" si="3"/>
        <v>3696.0000000000005</v>
      </c>
      <c r="Q30" s="1435">
        <v>3696.0000000000005</v>
      </c>
      <c r="R30" s="1460"/>
    </row>
    <row r="31" spans="1:19" ht="19.5">
      <c r="A31" s="1459">
        <f t="shared" si="4"/>
        <v>2.1199999999999974</v>
      </c>
      <c r="B31" s="1436" t="s">
        <v>717</v>
      </c>
      <c r="C31" s="1432" t="s">
        <v>718</v>
      </c>
      <c r="D31" s="875"/>
      <c r="E31" s="1433"/>
      <c r="F31" s="1433"/>
      <c r="G31" s="1433"/>
      <c r="H31" s="1434">
        <v>110</v>
      </c>
      <c r="I31" s="1434">
        <v>116</v>
      </c>
      <c r="J31" s="1434">
        <f t="shared" si="5"/>
        <v>116</v>
      </c>
      <c r="K31" s="1434">
        <f t="shared" si="5"/>
        <v>116</v>
      </c>
      <c r="L31" s="1434">
        <f t="shared" si="5"/>
        <v>116</v>
      </c>
      <c r="M31" s="1434">
        <f t="shared" si="2"/>
        <v>127.60000000000001</v>
      </c>
      <c r="N31" s="1434">
        <f t="shared" si="3"/>
        <v>127.60000000000001</v>
      </c>
      <c r="O31" s="1435">
        <f t="shared" si="3"/>
        <v>127.60000000000001</v>
      </c>
      <c r="P31" s="1435">
        <f t="shared" si="3"/>
        <v>127.60000000000001</v>
      </c>
      <c r="Q31" s="1435">
        <v>127.60000000000001</v>
      </c>
      <c r="R31" s="1460"/>
    </row>
    <row r="32" spans="1:19" ht="23.25">
      <c r="A32" s="1461">
        <v>3</v>
      </c>
      <c r="B32" s="1442" t="s">
        <v>719</v>
      </c>
      <c r="C32" s="1430"/>
      <c r="D32" s="1438"/>
      <c r="E32" s="1439"/>
      <c r="F32" s="1439"/>
      <c r="G32" s="1439"/>
      <c r="H32" s="1440"/>
      <c r="I32" s="1440"/>
      <c r="J32" s="1440"/>
      <c r="K32" s="1440"/>
      <c r="L32" s="1440"/>
      <c r="M32" s="1440"/>
      <c r="N32" s="1440"/>
      <c r="O32" s="1441"/>
      <c r="P32" s="1441"/>
      <c r="Q32" s="1441"/>
      <c r="R32" s="1462"/>
    </row>
    <row r="33" spans="1:18" ht="19.5">
      <c r="A33" s="1459">
        <f>A32+0.01</f>
        <v>3.01</v>
      </c>
      <c r="B33" s="1436" t="s">
        <v>720</v>
      </c>
      <c r="C33" s="1432" t="s">
        <v>714</v>
      </c>
      <c r="D33" s="875"/>
      <c r="E33" s="1433"/>
      <c r="F33" s="1433"/>
      <c r="G33" s="1433"/>
      <c r="H33" s="1434">
        <v>1337</v>
      </c>
      <c r="I33" s="1434">
        <v>1404</v>
      </c>
      <c r="J33" s="1434">
        <f>I33</f>
        <v>1404</v>
      </c>
      <c r="K33" s="1434">
        <f t="shared" si="5"/>
        <v>1404</v>
      </c>
      <c r="L33" s="1434">
        <f t="shared" si="5"/>
        <v>1404</v>
      </c>
      <c r="M33" s="1434">
        <f t="shared" si="2"/>
        <v>1544.4</v>
      </c>
      <c r="N33" s="1434">
        <f t="shared" si="3"/>
        <v>1544.4</v>
      </c>
      <c r="O33" s="1435">
        <f t="shared" si="3"/>
        <v>1544.4</v>
      </c>
      <c r="P33" s="1435">
        <f t="shared" si="3"/>
        <v>1544.4</v>
      </c>
      <c r="Q33" s="1435">
        <v>1544.4</v>
      </c>
      <c r="R33" s="1460"/>
    </row>
    <row r="34" spans="1:18" ht="19.5">
      <c r="A34" s="1459">
        <f>A33+0.01</f>
        <v>3.0199999999999996</v>
      </c>
      <c r="B34" s="1436" t="s">
        <v>721</v>
      </c>
      <c r="C34" s="1432" t="s">
        <v>714</v>
      </c>
      <c r="D34" s="875"/>
      <c r="E34" s="1433"/>
      <c r="F34" s="1433"/>
      <c r="G34" s="1433"/>
      <c r="H34" s="1434">
        <v>1953</v>
      </c>
      <c r="I34" s="1434">
        <v>2051</v>
      </c>
      <c r="J34" s="1434">
        <f>I34</f>
        <v>2051</v>
      </c>
      <c r="K34" s="1434">
        <f t="shared" si="5"/>
        <v>2051</v>
      </c>
      <c r="L34" s="1434">
        <f t="shared" si="5"/>
        <v>2051</v>
      </c>
      <c r="M34" s="1434">
        <f t="shared" si="2"/>
        <v>2256.1000000000004</v>
      </c>
      <c r="N34" s="1434">
        <f t="shared" si="3"/>
        <v>2256.1000000000004</v>
      </c>
      <c r="O34" s="1435">
        <f t="shared" si="3"/>
        <v>2256.1000000000004</v>
      </c>
      <c r="P34" s="1435">
        <f t="shared" si="3"/>
        <v>2256.1000000000004</v>
      </c>
      <c r="Q34" s="1435">
        <v>2256.1000000000004</v>
      </c>
      <c r="R34" s="1460"/>
    </row>
    <row r="35" spans="1:18" ht="23.25">
      <c r="A35" s="1461">
        <v>4</v>
      </c>
      <c r="B35" s="1437" t="s">
        <v>722</v>
      </c>
      <c r="C35" s="1430"/>
      <c r="D35" s="1438"/>
      <c r="E35" s="1439"/>
      <c r="F35" s="1439"/>
      <c r="G35" s="1439"/>
      <c r="H35" s="1440"/>
      <c r="I35" s="1440"/>
      <c r="J35" s="1440"/>
      <c r="K35" s="1440"/>
      <c r="L35" s="1440"/>
      <c r="M35" s="1440"/>
      <c r="N35" s="1440"/>
      <c r="O35" s="1441"/>
      <c r="P35" s="1441"/>
      <c r="Q35" s="1441"/>
      <c r="R35" s="1462"/>
    </row>
    <row r="36" spans="1:18" ht="31.5">
      <c r="A36" s="1459">
        <f>A35+0.01</f>
        <v>4.01</v>
      </c>
      <c r="B36" s="1443" t="s">
        <v>723</v>
      </c>
      <c r="C36" s="1432" t="s">
        <v>356</v>
      </c>
      <c r="D36" s="875"/>
      <c r="E36" s="1433"/>
      <c r="F36" s="1433"/>
      <c r="G36" s="1433"/>
      <c r="H36" s="1434">
        <v>75000</v>
      </c>
      <c r="I36" s="1434">
        <v>78750</v>
      </c>
      <c r="J36" s="1434">
        <f>I36</f>
        <v>78750</v>
      </c>
      <c r="K36" s="1434">
        <f t="shared" si="5"/>
        <v>78750</v>
      </c>
      <c r="L36" s="1434">
        <f t="shared" si="5"/>
        <v>78750</v>
      </c>
      <c r="M36" s="1434">
        <f t="shared" si="2"/>
        <v>86625</v>
      </c>
      <c r="N36" s="1434">
        <f t="shared" si="3"/>
        <v>86625</v>
      </c>
      <c r="O36" s="1435">
        <f t="shared" si="3"/>
        <v>86625</v>
      </c>
      <c r="P36" s="1435">
        <f t="shared" si="3"/>
        <v>86625</v>
      </c>
      <c r="Q36" s="1435">
        <v>86625</v>
      </c>
      <c r="R36" s="1460"/>
    </row>
    <row r="37" spans="1:18" ht="31.5">
      <c r="A37" s="1459">
        <f t="shared" ref="A37:A42" si="6">A36+0.01</f>
        <v>4.0199999999999996</v>
      </c>
      <c r="B37" s="1443" t="s">
        <v>724</v>
      </c>
      <c r="C37" s="1432" t="s">
        <v>356</v>
      </c>
      <c r="D37" s="875"/>
      <c r="E37" s="1433"/>
      <c r="F37" s="1433"/>
      <c r="G37" s="1433"/>
      <c r="H37" s="1434">
        <v>85000</v>
      </c>
      <c r="I37" s="1434">
        <v>89250</v>
      </c>
      <c r="J37" s="1434">
        <f t="shared" ref="J37:L46" si="7">I37</f>
        <v>89250</v>
      </c>
      <c r="K37" s="1434">
        <f t="shared" si="7"/>
        <v>89250</v>
      </c>
      <c r="L37" s="1434">
        <f t="shared" si="7"/>
        <v>89250</v>
      </c>
      <c r="M37" s="1434">
        <f t="shared" si="2"/>
        <v>98175.000000000015</v>
      </c>
      <c r="N37" s="1434">
        <f t="shared" si="3"/>
        <v>98175.000000000015</v>
      </c>
      <c r="O37" s="1435">
        <f t="shared" si="3"/>
        <v>98175.000000000015</v>
      </c>
      <c r="P37" s="1435">
        <f t="shared" si="3"/>
        <v>98175.000000000015</v>
      </c>
      <c r="Q37" s="1435">
        <v>98175.000000000015</v>
      </c>
      <c r="R37" s="1460"/>
    </row>
    <row r="38" spans="1:18" ht="31.5">
      <c r="A38" s="1459">
        <f t="shared" si="6"/>
        <v>4.0299999999999994</v>
      </c>
      <c r="B38" s="1443" t="s">
        <v>725</v>
      </c>
      <c r="C38" s="1432" t="s">
        <v>356</v>
      </c>
      <c r="D38" s="875"/>
      <c r="E38" s="1433"/>
      <c r="F38" s="1433"/>
      <c r="G38" s="1433"/>
      <c r="H38" s="1434">
        <v>105000</v>
      </c>
      <c r="I38" s="1434">
        <v>110250</v>
      </c>
      <c r="J38" s="1434">
        <f t="shared" si="7"/>
        <v>110250</v>
      </c>
      <c r="K38" s="1434">
        <f t="shared" si="7"/>
        <v>110250</v>
      </c>
      <c r="L38" s="1434">
        <f t="shared" si="7"/>
        <v>110250</v>
      </c>
      <c r="M38" s="1434">
        <f t="shared" si="2"/>
        <v>121275.00000000001</v>
      </c>
      <c r="N38" s="1434">
        <f t="shared" si="3"/>
        <v>121275.00000000001</v>
      </c>
      <c r="O38" s="1435">
        <f t="shared" si="3"/>
        <v>121275.00000000001</v>
      </c>
      <c r="P38" s="1435">
        <f t="shared" si="3"/>
        <v>121275.00000000001</v>
      </c>
      <c r="Q38" s="1435">
        <v>121275.00000000001</v>
      </c>
      <c r="R38" s="1460"/>
    </row>
    <row r="39" spans="1:18" ht="31.5">
      <c r="A39" s="1459">
        <f t="shared" si="6"/>
        <v>4.0399999999999991</v>
      </c>
      <c r="B39" s="1443" t="s">
        <v>726</v>
      </c>
      <c r="C39" s="1432" t="s">
        <v>356</v>
      </c>
      <c r="D39" s="875"/>
      <c r="E39" s="1433"/>
      <c r="F39" s="1433"/>
      <c r="G39" s="1433"/>
      <c r="H39" s="1434">
        <v>155000</v>
      </c>
      <c r="I39" s="1434">
        <v>162750</v>
      </c>
      <c r="J39" s="1434">
        <f t="shared" si="7"/>
        <v>162750</v>
      </c>
      <c r="K39" s="1434">
        <f t="shared" si="7"/>
        <v>162750</v>
      </c>
      <c r="L39" s="1434">
        <f t="shared" si="7"/>
        <v>162750</v>
      </c>
      <c r="M39" s="1434">
        <f t="shared" si="2"/>
        <v>179025</v>
      </c>
      <c r="N39" s="1434">
        <f t="shared" si="3"/>
        <v>179025</v>
      </c>
      <c r="O39" s="1435">
        <f t="shared" si="3"/>
        <v>179025</v>
      </c>
      <c r="P39" s="1435">
        <f t="shared" si="3"/>
        <v>179025</v>
      </c>
      <c r="Q39" s="1435">
        <v>179025</v>
      </c>
      <c r="R39" s="1460"/>
    </row>
    <row r="40" spans="1:18" ht="31.5">
      <c r="A40" s="1459">
        <f t="shared" si="6"/>
        <v>4.0499999999999989</v>
      </c>
      <c r="B40" s="1443" t="s">
        <v>727</v>
      </c>
      <c r="C40" s="1432" t="s">
        <v>356</v>
      </c>
      <c r="D40" s="875"/>
      <c r="E40" s="1433"/>
      <c r="F40" s="1433"/>
      <c r="G40" s="1433"/>
      <c r="H40" s="1434">
        <v>230000</v>
      </c>
      <c r="I40" s="1434">
        <v>241500</v>
      </c>
      <c r="J40" s="1434">
        <f t="shared" si="7"/>
        <v>241500</v>
      </c>
      <c r="K40" s="1434">
        <f t="shared" si="7"/>
        <v>241500</v>
      </c>
      <c r="L40" s="1434">
        <f t="shared" si="7"/>
        <v>241500</v>
      </c>
      <c r="M40" s="1434">
        <f t="shared" si="2"/>
        <v>265650</v>
      </c>
      <c r="N40" s="1434">
        <f t="shared" si="3"/>
        <v>265650</v>
      </c>
      <c r="O40" s="1435">
        <f t="shared" si="3"/>
        <v>265650</v>
      </c>
      <c r="P40" s="1435">
        <f t="shared" si="3"/>
        <v>265650</v>
      </c>
      <c r="Q40" s="1435">
        <v>265650</v>
      </c>
      <c r="R40" s="1460"/>
    </row>
    <row r="41" spans="1:18" ht="31.5">
      <c r="A41" s="1459">
        <f t="shared" si="6"/>
        <v>4.0599999999999987</v>
      </c>
      <c r="B41" s="1443" t="s">
        <v>728</v>
      </c>
      <c r="C41" s="1432" t="s">
        <v>356</v>
      </c>
      <c r="D41" s="875"/>
      <c r="E41" s="1433"/>
      <c r="F41" s="1433"/>
      <c r="G41" s="1433"/>
      <c r="H41" s="1434">
        <v>245000</v>
      </c>
      <c r="I41" s="1434">
        <v>257250</v>
      </c>
      <c r="J41" s="1434">
        <f t="shared" si="7"/>
        <v>257250</v>
      </c>
      <c r="K41" s="1434">
        <f t="shared" si="7"/>
        <v>257250</v>
      </c>
      <c r="L41" s="1434">
        <f t="shared" si="7"/>
        <v>257250</v>
      </c>
      <c r="M41" s="1434">
        <f t="shared" si="2"/>
        <v>282975</v>
      </c>
      <c r="N41" s="1434">
        <f t="shared" si="3"/>
        <v>282975</v>
      </c>
      <c r="O41" s="1435">
        <f t="shared" si="3"/>
        <v>282975</v>
      </c>
      <c r="P41" s="1435">
        <f t="shared" si="3"/>
        <v>282975</v>
      </c>
      <c r="Q41" s="1435">
        <v>282975</v>
      </c>
      <c r="R41" s="1460"/>
    </row>
    <row r="42" spans="1:18" ht="31.5">
      <c r="A42" s="1459">
        <f t="shared" si="6"/>
        <v>4.0699999999999985</v>
      </c>
      <c r="B42" s="1443" t="s">
        <v>729</v>
      </c>
      <c r="C42" s="1432" t="s">
        <v>356</v>
      </c>
      <c r="D42" s="875"/>
      <c r="E42" s="1433"/>
      <c r="F42" s="1433"/>
      <c r="G42" s="1433"/>
      <c r="H42" s="1434">
        <v>265000</v>
      </c>
      <c r="I42" s="1434">
        <v>278250</v>
      </c>
      <c r="J42" s="1434">
        <f t="shared" si="7"/>
        <v>278250</v>
      </c>
      <c r="K42" s="1434">
        <f t="shared" si="7"/>
        <v>278250</v>
      </c>
      <c r="L42" s="1434">
        <f t="shared" si="7"/>
        <v>278250</v>
      </c>
      <c r="M42" s="1434">
        <f t="shared" si="2"/>
        <v>306075</v>
      </c>
      <c r="N42" s="1434">
        <f t="shared" si="3"/>
        <v>306075</v>
      </c>
      <c r="O42" s="1435">
        <f t="shared" si="3"/>
        <v>306075</v>
      </c>
      <c r="P42" s="1435">
        <f t="shared" si="3"/>
        <v>306075</v>
      </c>
      <c r="Q42" s="1435">
        <v>306075</v>
      </c>
      <c r="R42" s="1460"/>
    </row>
    <row r="43" spans="1:18" ht="24">
      <c r="A43" s="1463">
        <v>5</v>
      </c>
      <c r="B43" s="1444" t="s">
        <v>730</v>
      </c>
      <c r="C43" s="1445"/>
      <c r="D43" s="1446"/>
      <c r="E43" s="1447"/>
      <c r="F43" s="1447"/>
      <c r="G43" s="1447"/>
      <c r="H43" s="1448"/>
      <c r="I43" s="1448"/>
      <c r="J43" s="1448"/>
      <c r="K43" s="1448"/>
      <c r="L43" s="1448"/>
      <c r="M43" s="1448"/>
      <c r="N43" s="1448"/>
      <c r="O43" s="1449"/>
      <c r="P43" s="1449"/>
      <c r="Q43" s="1449"/>
      <c r="R43" s="1464"/>
    </row>
    <row r="44" spans="1:18" ht="19.5">
      <c r="A44" s="1459">
        <f>A43+0.1</f>
        <v>5.0999999999999996</v>
      </c>
      <c r="B44" s="1073" t="s">
        <v>731</v>
      </c>
      <c r="C44" s="1432" t="s">
        <v>718</v>
      </c>
      <c r="D44" s="875"/>
      <c r="E44" s="1433"/>
      <c r="F44" s="1433"/>
      <c r="G44" s="1433"/>
      <c r="H44" s="1450">
        <v>640</v>
      </c>
      <c r="I44" s="1434">
        <v>672</v>
      </c>
      <c r="J44" s="1434">
        <f>I44</f>
        <v>672</v>
      </c>
      <c r="K44" s="1434">
        <f t="shared" si="7"/>
        <v>672</v>
      </c>
      <c r="L44" s="1434">
        <f t="shared" si="7"/>
        <v>672</v>
      </c>
      <c r="M44" s="1434">
        <f t="shared" si="2"/>
        <v>739.2</v>
      </c>
      <c r="N44" s="1434">
        <f t="shared" si="3"/>
        <v>739.2</v>
      </c>
      <c r="O44" s="1435">
        <f t="shared" si="3"/>
        <v>739.2</v>
      </c>
      <c r="P44" s="1435">
        <f t="shared" si="3"/>
        <v>739.2</v>
      </c>
      <c r="Q44" s="1435">
        <v>781</v>
      </c>
      <c r="R44" s="1460"/>
    </row>
    <row r="45" spans="1:18" ht="28.5">
      <c r="A45" s="1459">
        <f t="shared" ref="A45:A47" si="8">A44+0.1</f>
        <v>5.1999999999999993</v>
      </c>
      <c r="B45" s="1073" t="s">
        <v>2833</v>
      </c>
      <c r="C45" s="1432" t="s">
        <v>718</v>
      </c>
      <c r="D45" s="875"/>
      <c r="E45" s="1433"/>
      <c r="F45" s="1433"/>
      <c r="G45" s="1433"/>
      <c r="H45" s="1450"/>
      <c r="I45" s="1434"/>
      <c r="J45" s="1434"/>
      <c r="K45" s="1434"/>
      <c r="L45" s="1434"/>
      <c r="M45" s="1434"/>
      <c r="N45" s="1434"/>
      <c r="O45" s="1468">
        <v>0</v>
      </c>
      <c r="P45" s="1468">
        <v>0</v>
      </c>
      <c r="Q45" s="1435">
        <v>851</v>
      </c>
      <c r="R45" s="1460"/>
    </row>
    <row r="46" spans="1:18" ht="19.5">
      <c r="A46" s="1459">
        <f t="shared" si="8"/>
        <v>5.2999999999999989</v>
      </c>
      <c r="B46" s="1073" t="s">
        <v>1983</v>
      </c>
      <c r="C46" s="1432" t="s">
        <v>718</v>
      </c>
      <c r="D46" s="875"/>
      <c r="E46" s="1433"/>
      <c r="F46" s="1433"/>
      <c r="G46" s="1433"/>
      <c r="H46" s="1450">
        <v>730</v>
      </c>
      <c r="I46" s="1434">
        <v>767</v>
      </c>
      <c r="J46" s="1434">
        <f>I46</f>
        <v>767</v>
      </c>
      <c r="K46" s="1434">
        <f t="shared" si="7"/>
        <v>767</v>
      </c>
      <c r="L46" s="1434">
        <f t="shared" si="7"/>
        <v>767</v>
      </c>
      <c r="M46" s="1434">
        <f t="shared" si="2"/>
        <v>843.7</v>
      </c>
      <c r="N46" s="1434">
        <f t="shared" si="3"/>
        <v>843.7</v>
      </c>
      <c r="O46" s="1435">
        <f t="shared" si="3"/>
        <v>843.7</v>
      </c>
      <c r="P46" s="1435">
        <f t="shared" si="3"/>
        <v>843.7</v>
      </c>
      <c r="Q46" s="1435">
        <v>922</v>
      </c>
      <c r="R46" s="1460"/>
    </row>
    <row r="47" spans="1:18" ht="28.5">
      <c r="A47" s="1459">
        <f t="shared" si="8"/>
        <v>5.3999999999999986</v>
      </c>
      <c r="B47" s="1073" t="s">
        <v>2834</v>
      </c>
      <c r="C47" s="1432" t="s">
        <v>718</v>
      </c>
      <c r="D47" s="875"/>
      <c r="E47" s="1433"/>
      <c r="F47" s="1433"/>
      <c r="G47" s="1433"/>
      <c r="H47" s="1450"/>
      <c r="I47" s="1434"/>
      <c r="J47" s="1434"/>
      <c r="K47" s="1434"/>
      <c r="L47" s="1434"/>
      <c r="M47" s="1434"/>
      <c r="N47" s="1434"/>
      <c r="O47" s="1468">
        <v>0</v>
      </c>
      <c r="P47" s="1468">
        <v>0</v>
      </c>
      <c r="Q47" s="1435">
        <v>1050</v>
      </c>
      <c r="R47" s="1460"/>
    </row>
    <row r="48" spans="1:18" s="327" customFormat="1" ht="24">
      <c r="A48" s="1465">
        <v>6</v>
      </c>
      <c r="B48" s="1451" t="s">
        <v>1984</v>
      </c>
      <c r="C48" s="1452"/>
      <c r="D48" s="853"/>
      <c r="E48" s="1453"/>
      <c r="F48" s="1453"/>
      <c r="G48" s="1453"/>
      <c r="H48" s="1453"/>
      <c r="I48" s="1453"/>
      <c r="J48" s="1453"/>
      <c r="K48" s="1453"/>
      <c r="L48" s="1453"/>
      <c r="M48" s="1453"/>
      <c r="N48" s="853"/>
      <c r="O48" s="610"/>
      <c r="P48" s="610"/>
      <c r="Q48" s="610"/>
      <c r="R48" s="853"/>
    </row>
    <row r="49" spans="1:19" ht="19.5">
      <c r="A49" s="1459">
        <f>A48+0.01</f>
        <v>6.01</v>
      </c>
      <c r="B49" s="1436" t="s">
        <v>2835</v>
      </c>
      <c r="C49" s="613" t="s">
        <v>235</v>
      </c>
      <c r="D49" s="37"/>
      <c r="E49" s="334"/>
      <c r="F49" s="334"/>
      <c r="G49" s="334"/>
      <c r="H49" s="334"/>
      <c r="I49" s="334"/>
      <c r="J49" s="334"/>
      <c r="K49" s="334"/>
      <c r="L49" s="334"/>
      <c r="M49" s="334"/>
      <c r="N49" s="1049" t="s">
        <v>2160</v>
      </c>
      <c r="O49" s="616" t="s">
        <v>2160</v>
      </c>
      <c r="P49" s="75">
        <v>70000</v>
      </c>
      <c r="Q49" s="75">
        <v>80000</v>
      </c>
      <c r="R49" s="281"/>
      <c r="S49" s="13" t="s">
        <v>1985</v>
      </c>
    </row>
    <row r="50" spans="1:19" ht="28.5">
      <c r="A50" s="1459">
        <f t="shared" ref="A50:A55" si="9">A49+0.01</f>
        <v>6.02</v>
      </c>
      <c r="B50" s="1436" t="s">
        <v>2836</v>
      </c>
      <c r="C50" s="613" t="s">
        <v>235</v>
      </c>
      <c r="D50" s="37"/>
      <c r="E50" s="334"/>
      <c r="F50" s="334"/>
      <c r="G50" s="334"/>
      <c r="H50" s="334"/>
      <c r="I50" s="334"/>
      <c r="J50" s="334"/>
      <c r="K50" s="334"/>
      <c r="L50" s="334"/>
      <c r="M50" s="334"/>
      <c r="N50" s="1049"/>
      <c r="O50" s="1468">
        <v>0</v>
      </c>
      <c r="P50" s="1468">
        <v>0</v>
      </c>
      <c r="Q50" s="166">
        <v>70000</v>
      </c>
      <c r="R50" s="281"/>
    </row>
    <row r="51" spans="1:19" ht="28.5">
      <c r="A51" s="1459">
        <f t="shared" si="9"/>
        <v>6.0299999999999994</v>
      </c>
      <c r="B51" s="1436" t="s">
        <v>2837</v>
      </c>
      <c r="C51" s="613" t="s">
        <v>235</v>
      </c>
      <c r="D51" s="37"/>
      <c r="E51" s="334"/>
      <c r="F51" s="334"/>
      <c r="G51" s="334"/>
      <c r="H51" s="334"/>
      <c r="I51" s="334"/>
      <c r="J51" s="334"/>
      <c r="K51" s="334"/>
      <c r="L51" s="334"/>
      <c r="M51" s="334"/>
      <c r="N51" s="1049"/>
      <c r="O51" s="1468">
        <v>0</v>
      </c>
      <c r="P51" s="1468">
        <v>0</v>
      </c>
      <c r="Q51" s="166">
        <v>65000</v>
      </c>
      <c r="R51" s="281"/>
    </row>
    <row r="52" spans="1:19" ht="19.5">
      <c r="A52" s="1459">
        <f t="shared" si="9"/>
        <v>6.0399999999999991</v>
      </c>
      <c r="B52" s="1436" t="s">
        <v>2838</v>
      </c>
      <c r="C52" s="613" t="s">
        <v>235</v>
      </c>
      <c r="D52" s="37"/>
      <c r="E52" s="334"/>
      <c r="F52" s="334"/>
      <c r="G52" s="334"/>
      <c r="H52" s="334"/>
      <c r="I52" s="334"/>
      <c r="J52" s="334"/>
      <c r="K52" s="334"/>
      <c r="L52" s="334"/>
      <c r="M52" s="334"/>
      <c r="N52" s="1049" t="s">
        <v>2160</v>
      </c>
      <c r="O52" s="616" t="s">
        <v>2160</v>
      </c>
      <c r="P52" s="75">
        <v>35000</v>
      </c>
      <c r="Q52" s="166">
        <v>35000</v>
      </c>
      <c r="R52" s="281"/>
      <c r="S52" s="13" t="s">
        <v>1985</v>
      </c>
    </row>
    <row r="53" spans="1:19" ht="28.5">
      <c r="A53" s="1459">
        <f t="shared" si="9"/>
        <v>6.0499999999999989</v>
      </c>
      <c r="B53" s="1436" t="s">
        <v>2839</v>
      </c>
      <c r="C53" s="613" t="s">
        <v>235</v>
      </c>
      <c r="D53" s="37"/>
      <c r="E53" s="334"/>
      <c r="F53" s="334"/>
      <c r="G53" s="334"/>
      <c r="H53" s="334"/>
      <c r="I53" s="334"/>
      <c r="J53" s="334"/>
      <c r="K53" s="334"/>
      <c r="L53" s="334"/>
      <c r="M53" s="334"/>
      <c r="N53" s="1049"/>
      <c r="O53" s="1468">
        <v>0</v>
      </c>
      <c r="P53" s="1468">
        <v>0</v>
      </c>
      <c r="Q53" s="166">
        <v>30000</v>
      </c>
      <c r="R53" s="281"/>
    </row>
    <row r="54" spans="1:19" ht="28.5">
      <c r="A54" s="1459">
        <f t="shared" si="9"/>
        <v>6.0599999999999987</v>
      </c>
      <c r="B54" s="1436" t="s">
        <v>2840</v>
      </c>
      <c r="C54" s="613" t="s">
        <v>235</v>
      </c>
      <c r="D54" s="37"/>
      <c r="E54" s="334"/>
      <c r="F54" s="334"/>
      <c r="G54" s="334"/>
      <c r="H54" s="334"/>
      <c r="I54" s="334"/>
      <c r="J54" s="334"/>
      <c r="K54" s="334"/>
      <c r="L54" s="334"/>
      <c r="M54" s="334"/>
      <c r="N54" s="1049" t="s">
        <v>2160</v>
      </c>
      <c r="O54" s="1468">
        <v>0</v>
      </c>
      <c r="P54" s="75">
        <v>25000</v>
      </c>
      <c r="Q54" s="166">
        <v>25000</v>
      </c>
      <c r="R54" s="281"/>
      <c r="S54" s="13" t="s">
        <v>1985</v>
      </c>
    </row>
    <row r="55" spans="1:19" ht="28.5">
      <c r="A55" s="1459">
        <f t="shared" si="9"/>
        <v>6.0699999999999985</v>
      </c>
      <c r="B55" s="1436" t="s">
        <v>2841</v>
      </c>
      <c r="C55" s="613" t="s">
        <v>235</v>
      </c>
      <c r="D55" s="37"/>
      <c r="E55" s="334"/>
      <c r="F55" s="334"/>
      <c r="G55" s="334"/>
      <c r="H55" s="334"/>
      <c r="I55" s="334"/>
      <c r="J55" s="334"/>
      <c r="K55" s="334"/>
      <c r="L55" s="334"/>
      <c r="M55" s="334"/>
      <c r="N55" s="1049"/>
      <c r="O55" s="1468">
        <v>0</v>
      </c>
      <c r="P55" s="1468">
        <v>0</v>
      </c>
      <c r="Q55" s="166">
        <v>20000</v>
      </c>
      <c r="R55" s="281"/>
    </row>
    <row r="56" spans="1:19" ht="61.15" customHeight="1">
      <c r="A56" s="1466">
        <v>7</v>
      </c>
      <c r="B56" s="1454" t="s">
        <v>1988</v>
      </c>
      <c r="C56" s="312" t="s">
        <v>235</v>
      </c>
      <c r="D56" s="37"/>
      <c r="E56" s="334"/>
      <c r="F56" s="334"/>
      <c r="G56" s="334"/>
      <c r="H56" s="334"/>
      <c r="I56" s="334"/>
      <c r="J56" s="334"/>
      <c r="K56" s="334"/>
      <c r="L56" s="334"/>
      <c r="M56" s="334"/>
      <c r="N56" s="1049" t="s">
        <v>2160</v>
      </c>
      <c r="O56" s="1468">
        <v>0</v>
      </c>
      <c r="P56" s="75">
        <v>25000</v>
      </c>
      <c r="Q56" s="75">
        <v>25000</v>
      </c>
      <c r="R56" s="281"/>
      <c r="S56" s="13" t="s">
        <v>1997</v>
      </c>
    </row>
    <row r="57" spans="1:19" ht="28.5">
      <c r="A57" s="1466">
        <v>8</v>
      </c>
      <c r="B57" s="1454" t="s">
        <v>1998</v>
      </c>
      <c r="C57" s="312" t="s">
        <v>1986</v>
      </c>
      <c r="D57" s="37"/>
      <c r="E57" s="334"/>
      <c r="F57" s="334"/>
      <c r="G57" s="334"/>
      <c r="H57" s="334"/>
      <c r="I57" s="334"/>
      <c r="J57" s="334"/>
      <c r="K57" s="334"/>
      <c r="L57" s="334"/>
      <c r="M57" s="334"/>
      <c r="N57" s="1049" t="s">
        <v>2160</v>
      </c>
      <c r="O57" s="1468">
        <v>0</v>
      </c>
      <c r="P57" s="75">
        <v>70000</v>
      </c>
      <c r="Q57" s="75">
        <v>70000</v>
      </c>
      <c r="R57" s="281"/>
      <c r="S57" s="13" t="s">
        <v>1997</v>
      </c>
    </row>
    <row r="58" spans="1:19" ht="28.5">
      <c r="A58" s="1466">
        <v>9</v>
      </c>
      <c r="B58" s="1454" t="s">
        <v>1999</v>
      </c>
      <c r="C58" s="312" t="s">
        <v>2161</v>
      </c>
      <c r="D58" s="37"/>
      <c r="E58" s="334"/>
      <c r="F58" s="334"/>
      <c r="G58" s="334"/>
      <c r="H58" s="334"/>
      <c r="I58" s="334"/>
      <c r="J58" s="334"/>
      <c r="K58" s="334"/>
      <c r="L58" s="334"/>
      <c r="M58" s="334"/>
      <c r="N58" s="1049" t="s">
        <v>2160</v>
      </c>
      <c r="O58" s="1468">
        <v>0</v>
      </c>
      <c r="P58" s="75">
        <v>425</v>
      </c>
      <c r="Q58" s="75">
        <v>425</v>
      </c>
      <c r="R58" s="281"/>
      <c r="S58" s="13" t="s">
        <v>1997</v>
      </c>
    </row>
    <row r="59" spans="1:19" ht="28.5">
      <c r="A59" s="1466">
        <v>10</v>
      </c>
      <c r="B59" s="1454" t="s">
        <v>2000</v>
      </c>
      <c r="C59" s="312" t="s">
        <v>2161</v>
      </c>
      <c r="D59" s="37"/>
      <c r="E59" s="334"/>
      <c r="F59" s="334"/>
      <c r="G59" s="334"/>
      <c r="H59" s="334"/>
      <c r="I59" s="334"/>
      <c r="J59" s="334"/>
      <c r="K59" s="334"/>
      <c r="L59" s="334"/>
      <c r="M59" s="334"/>
      <c r="N59" s="1049" t="s">
        <v>2160</v>
      </c>
      <c r="O59" s="1468">
        <v>0</v>
      </c>
      <c r="P59" s="75">
        <v>2915</v>
      </c>
      <c r="Q59" s="75">
        <v>2915</v>
      </c>
      <c r="R59" s="281"/>
      <c r="S59" s="13" t="s">
        <v>1997</v>
      </c>
    </row>
    <row r="60" spans="1:19" ht="28.5">
      <c r="A60" s="1466">
        <v>11</v>
      </c>
      <c r="B60" s="1454" t="s">
        <v>2001</v>
      </c>
      <c r="C60" s="312" t="s">
        <v>1986</v>
      </c>
      <c r="D60" s="37"/>
      <c r="E60" s="334"/>
      <c r="F60" s="334"/>
      <c r="G60" s="334"/>
      <c r="H60" s="334"/>
      <c r="I60" s="334"/>
      <c r="J60" s="334"/>
      <c r="K60" s="334"/>
      <c r="L60" s="334"/>
      <c r="M60" s="334"/>
      <c r="N60" s="1049" t="s">
        <v>2160</v>
      </c>
      <c r="O60" s="1468">
        <v>0</v>
      </c>
      <c r="P60" s="75">
        <v>500</v>
      </c>
      <c r="Q60" s="75">
        <v>500</v>
      </c>
      <c r="R60" s="281"/>
      <c r="S60" s="13" t="s">
        <v>1997</v>
      </c>
    </row>
    <row r="61" spans="1:19" ht="28.5">
      <c r="A61" s="1466">
        <v>12</v>
      </c>
      <c r="B61" s="1454" t="s">
        <v>2002</v>
      </c>
      <c r="C61" s="312" t="s">
        <v>2003</v>
      </c>
      <c r="D61" s="37"/>
      <c r="E61" s="334"/>
      <c r="F61" s="334"/>
      <c r="G61" s="334"/>
      <c r="H61" s="334"/>
      <c r="I61" s="334"/>
      <c r="J61" s="334"/>
      <c r="K61" s="334"/>
      <c r="L61" s="334"/>
      <c r="M61" s="334"/>
      <c r="N61" s="1049" t="s">
        <v>2160</v>
      </c>
      <c r="O61" s="1468">
        <v>0</v>
      </c>
      <c r="P61" s="75">
        <v>750</v>
      </c>
      <c r="Q61" s="75">
        <v>750</v>
      </c>
      <c r="R61" s="281"/>
      <c r="S61" s="13" t="s">
        <v>1997</v>
      </c>
    </row>
    <row r="62" spans="1:19" ht="28.5">
      <c r="A62" s="1466">
        <v>13</v>
      </c>
      <c r="B62" s="1454" t="s">
        <v>2197</v>
      </c>
      <c r="C62" s="312" t="s">
        <v>1986</v>
      </c>
      <c r="D62" s="37"/>
      <c r="E62" s="334"/>
      <c r="F62" s="334"/>
      <c r="G62" s="334"/>
      <c r="H62" s="334"/>
      <c r="I62" s="334"/>
      <c r="J62" s="334"/>
      <c r="K62" s="334"/>
      <c r="L62" s="334"/>
      <c r="M62" s="334"/>
      <c r="N62" s="1049" t="s">
        <v>2160</v>
      </c>
      <c r="O62" s="1468">
        <v>0</v>
      </c>
      <c r="P62" s="75">
        <v>3000</v>
      </c>
      <c r="Q62" s="75">
        <v>3000</v>
      </c>
      <c r="R62" s="281"/>
      <c r="S62" s="13" t="s">
        <v>1997</v>
      </c>
    </row>
    <row r="63" spans="1:19" ht="28.5">
      <c r="A63" s="1466">
        <v>14</v>
      </c>
      <c r="B63" s="1454" t="s">
        <v>2198</v>
      </c>
      <c r="C63" s="312" t="s">
        <v>235</v>
      </c>
      <c r="D63" s="37"/>
      <c r="E63" s="334"/>
      <c r="F63" s="334"/>
      <c r="G63" s="334"/>
      <c r="H63" s="334"/>
      <c r="I63" s="334"/>
      <c r="J63" s="334"/>
      <c r="K63" s="334"/>
      <c r="L63" s="334"/>
      <c r="M63" s="334"/>
      <c r="N63" s="1049" t="s">
        <v>2160</v>
      </c>
      <c r="O63" s="1468">
        <v>0</v>
      </c>
      <c r="P63" s="75">
        <v>790</v>
      </c>
      <c r="Q63" s="75">
        <v>790</v>
      </c>
      <c r="R63" s="281"/>
      <c r="S63" s="13" t="s">
        <v>1997</v>
      </c>
    </row>
    <row r="64" spans="1:19" ht="28.5">
      <c r="A64" s="1466">
        <v>15</v>
      </c>
      <c r="B64" s="1454" t="s">
        <v>2199</v>
      </c>
      <c r="C64" s="312" t="s">
        <v>235</v>
      </c>
      <c r="D64" s="37"/>
      <c r="E64" s="334"/>
      <c r="F64" s="334"/>
      <c r="G64" s="334"/>
      <c r="H64" s="334"/>
      <c r="I64" s="334"/>
      <c r="J64" s="334"/>
      <c r="K64" s="334"/>
      <c r="L64" s="334"/>
      <c r="M64" s="334"/>
      <c r="N64" s="1049" t="s">
        <v>2160</v>
      </c>
      <c r="O64" s="1468">
        <v>0</v>
      </c>
      <c r="P64" s="75">
        <v>700</v>
      </c>
      <c r="Q64" s="75">
        <v>700</v>
      </c>
      <c r="R64" s="281"/>
      <c r="S64" s="13" t="s">
        <v>1997</v>
      </c>
    </row>
    <row r="65" spans="1:19" ht="28.5">
      <c r="A65" s="1466">
        <v>16</v>
      </c>
      <c r="B65" s="1455" t="s">
        <v>2200</v>
      </c>
      <c r="C65" s="312" t="s">
        <v>235</v>
      </c>
      <c r="D65" s="37"/>
      <c r="E65" s="334"/>
      <c r="F65" s="334"/>
      <c r="G65" s="334"/>
      <c r="H65" s="334"/>
      <c r="I65" s="334"/>
      <c r="J65" s="334"/>
      <c r="K65" s="334"/>
      <c r="L65" s="334"/>
      <c r="M65" s="334"/>
      <c r="N65" s="1049" t="s">
        <v>2160</v>
      </c>
      <c r="O65" s="1468">
        <v>0</v>
      </c>
      <c r="P65" s="75">
        <v>1750</v>
      </c>
      <c r="Q65" s="75">
        <v>1750</v>
      </c>
      <c r="R65" s="281"/>
      <c r="S65" s="13" t="s">
        <v>1997</v>
      </c>
    </row>
    <row r="66" spans="1:19" ht="28.5">
      <c r="A66" s="1466">
        <v>17</v>
      </c>
      <c r="B66" s="1455" t="s">
        <v>2201</v>
      </c>
      <c r="C66" s="312" t="s">
        <v>1986</v>
      </c>
      <c r="D66" s="37"/>
      <c r="E66" s="334"/>
      <c r="F66" s="334"/>
      <c r="G66" s="334"/>
      <c r="H66" s="334"/>
      <c r="I66" s="334"/>
      <c r="J66" s="334"/>
      <c r="K66" s="334"/>
      <c r="L66" s="334"/>
      <c r="M66" s="334"/>
      <c r="N66" s="1049" t="s">
        <v>2160</v>
      </c>
      <c r="O66" s="1468">
        <v>0</v>
      </c>
      <c r="P66" s="75">
        <v>2500</v>
      </c>
      <c r="Q66" s="75">
        <v>2500</v>
      </c>
      <c r="R66" s="281"/>
      <c r="S66" s="13" t="s">
        <v>1997</v>
      </c>
    </row>
    <row r="67" spans="1:19" ht="28.5">
      <c r="A67" s="1466">
        <v>18</v>
      </c>
      <c r="B67" s="1455" t="s">
        <v>2202</v>
      </c>
      <c r="C67" s="312" t="s">
        <v>1986</v>
      </c>
      <c r="D67" s="37"/>
      <c r="E67" s="334"/>
      <c r="F67" s="334"/>
      <c r="G67" s="334"/>
      <c r="H67" s="334"/>
      <c r="I67" s="334"/>
      <c r="J67" s="334"/>
      <c r="K67" s="334"/>
      <c r="L67" s="334"/>
      <c r="M67" s="334"/>
      <c r="N67" s="1049" t="s">
        <v>2160</v>
      </c>
      <c r="O67" s="1468">
        <v>0</v>
      </c>
      <c r="P67" s="75">
        <v>1500</v>
      </c>
      <c r="Q67" s="75">
        <v>1500</v>
      </c>
      <c r="R67" s="281"/>
      <c r="S67" s="13" t="s">
        <v>1997</v>
      </c>
    </row>
    <row r="68" spans="1:19" ht="28.5">
      <c r="A68" s="1466">
        <v>19</v>
      </c>
      <c r="B68" s="1455" t="s">
        <v>2203</v>
      </c>
      <c r="C68" s="312" t="s">
        <v>1986</v>
      </c>
      <c r="D68" s="37"/>
      <c r="E68" s="334"/>
      <c r="F68" s="334"/>
      <c r="G68" s="334"/>
      <c r="H68" s="334"/>
      <c r="I68" s="334"/>
      <c r="J68" s="334"/>
      <c r="K68" s="334"/>
      <c r="L68" s="334"/>
      <c r="M68" s="334"/>
      <c r="N68" s="1049" t="s">
        <v>2160</v>
      </c>
      <c r="O68" s="1468">
        <v>0</v>
      </c>
      <c r="P68" s="75">
        <v>562</v>
      </c>
      <c r="Q68" s="75">
        <v>562</v>
      </c>
      <c r="R68" s="281"/>
      <c r="S68" s="13" t="s">
        <v>1997</v>
      </c>
    </row>
    <row r="69" spans="1:19" s="242" customFormat="1" ht="19.5">
      <c r="A69" s="1467">
        <v>20</v>
      </c>
      <c r="B69" s="1456" t="s">
        <v>1991</v>
      </c>
      <c r="C69" s="615"/>
      <c r="D69" s="853"/>
      <c r="E69" s="1453"/>
      <c r="F69" s="1453"/>
      <c r="G69" s="1453"/>
      <c r="H69" s="1453"/>
      <c r="I69" s="1453"/>
      <c r="J69" s="1453"/>
      <c r="K69" s="1453"/>
      <c r="L69" s="1453"/>
      <c r="M69" s="1453"/>
      <c r="N69" s="853"/>
      <c r="O69" s="610"/>
      <c r="P69" s="610"/>
      <c r="Q69" s="610"/>
      <c r="R69" s="853"/>
      <c r="S69" s="242" t="s">
        <v>1997</v>
      </c>
    </row>
    <row r="70" spans="1:19" ht="28.5">
      <c r="A70" s="1459">
        <f>A69+0.01</f>
        <v>20.010000000000002</v>
      </c>
      <c r="B70" s="1443" t="s">
        <v>2004</v>
      </c>
      <c r="C70" s="312" t="s">
        <v>1995</v>
      </c>
      <c r="D70" s="37"/>
      <c r="E70" s="334"/>
      <c r="F70" s="334"/>
      <c r="G70" s="334"/>
      <c r="H70" s="334"/>
      <c r="I70" s="334"/>
      <c r="J70" s="334"/>
      <c r="K70" s="334"/>
      <c r="L70" s="334"/>
      <c r="M70" s="334"/>
      <c r="N70" s="1049" t="s">
        <v>2160</v>
      </c>
      <c r="O70" s="1468">
        <v>0</v>
      </c>
      <c r="P70" s="75">
        <v>1700</v>
      </c>
      <c r="Q70" s="75">
        <v>1700</v>
      </c>
      <c r="R70" s="281"/>
      <c r="S70" s="13" t="s">
        <v>1997</v>
      </c>
    </row>
    <row r="71" spans="1:19" ht="28.5">
      <c r="A71" s="1459">
        <f t="shared" ref="A71:A82" si="10">A70+0.01</f>
        <v>20.020000000000003</v>
      </c>
      <c r="B71" s="1443" t="s">
        <v>2005</v>
      </c>
      <c r="C71" s="312" t="s">
        <v>1995</v>
      </c>
      <c r="D71" s="37"/>
      <c r="E71" s="334"/>
      <c r="F71" s="334"/>
      <c r="G71" s="334"/>
      <c r="H71" s="334"/>
      <c r="I71" s="334"/>
      <c r="J71" s="334"/>
      <c r="K71" s="334"/>
      <c r="L71" s="334"/>
      <c r="M71" s="334"/>
      <c r="N71" s="1049" t="s">
        <v>2160</v>
      </c>
      <c r="O71" s="1468">
        <v>0</v>
      </c>
      <c r="P71" s="75">
        <v>192</v>
      </c>
      <c r="Q71" s="75">
        <v>192</v>
      </c>
      <c r="R71" s="281"/>
      <c r="S71" s="13" t="s">
        <v>1997</v>
      </c>
    </row>
    <row r="72" spans="1:19" ht="28.5">
      <c r="A72" s="1459">
        <f t="shared" si="10"/>
        <v>20.030000000000005</v>
      </c>
      <c r="B72" s="1443" t="s">
        <v>1989</v>
      </c>
      <c r="C72" s="312" t="s">
        <v>1995</v>
      </c>
      <c r="D72" s="37"/>
      <c r="E72" s="334"/>
      <c r="F72" s="334"/>
      <c r="G72" s="334"/>
      <c r="H72" s="334"/>
      <c r="I72" s="334"/>
      <c r="J72" s="334"/>
      <c r="K72" s="334"/>
      <c r="L72" s="334"/>
      <c r="M72" s="334"/>
      <c r="N72" s="1049" t="s">
        <v>2160</v>
      </c>
      <c r="O72" s="1468">
        <v>0</v>
      </c>
      <c r="P72" s="75">
        <v>680</v>
      </c>
      <c r="Q72" s="75">
        <v>680</v>
      </c>
      <c r="R72" s="281"/>
      <c r="S72" s="13" t="s">
        <v>1997</v>
      </c>
    </row>
    <row r="73" spans="1:19" ht="28.5">
      <c r="A73" s="1459">
        <f t="shared" si="10"/>
        <v>20.040000000000006</v>
      </c>
      <c r="B73" s="1443" t="s">
        <v>2006</v>
      </c>
      <c r="C73" s="312" t="s">
        <v>1995</v>
      </c>
      <c r="D73" s="37"/>
      <c r="E73" s="334"/>
      <c r="F73" s="334"/>
      <c r="G73" s="334"/>
      <c r="H73" s="334"/>
      <c r="I73" s="334"/>
      <c r="J73" s="334"/>
      <c r="K73" s="334"/>
      <c r="L73" s="334"/>
      <c r="M73" s="334"/>
      <c r="N73" s="1049" t="s">
        <v>2160</v>
      </c>
      <c r="O73" s="1468">
        <v>0</v>
      </c>
      <c r="P73" s="75">
        <v>1035</v>
      </c>
      <c r="Q73" s="75">
        <v>1035</v>
      </c>
      <c r="R73" s="281"/>
      <c r="S73" s="13" t="s">
        <v>1997</v>
      </c>
    </row>
    <row r="74" spans="1:19" ht="28.5">
      <c r="A74" s="1459">
        <f t="shared" si="10"/>
        <v>20.050000000000008</v>
      </c>
      <c r="B74" s="1443" t="s">
        <v>2007</v>
      </c>
      <c r="C74" s="312" t="s">
        <v>1995</v>
      </c>
      <c r="D74" s="37"/>
      <c r="E74" s="334"/>
      <c r="F74" s="334"/>
      <c r="G74" s="334"/>
      <c r="H74" s="334"/>
      <c r="I74" s="334"/>
      <c r="J74" s="334"/>
      <c r="K74" s="334"/>
      <c r="L74" s="334"/>
      <c r="M74" s="334"/>
      <c r="N74" s="1049" t="s">
        <v>2160</v>
      </c>
      <c r="O74" s="1468">
        <v>0</v>
      </c>
      <c r="P74" s="75">
        <v>312</v>
      </c>
      <c r="Q74" s="75">
        <v>312</v>
      </c>
      <c r="R74" s="281"/>
      <c r="S74" s="13" t="s">
        <v>1997</v>
      </c>
    </row>
    <row r="75" spans="1:19" ht="28.5">
      <c r="A75" s="1459">
        <f t="shared" si="10"/>
        <v>20.060000000000009</v>
      </c>
      <c r="B75" s="1443" t="s">
        <v>2008</v>
      </c>
      <c r="C75" s="312" t="s">
        <v>1995</v>
      </c>
      <c r="D75" s="37"/>
      <c r="E75" s="334"/>
      <c r="F75" s="334"/>
      <c r="G75" s="334"/>
      <c r="H75" s="334"/>
      <c r="I75" s="334"/>
      <c r="J75" s="334"/>
      <c r="K75" s="334"/>
      <c r="L75" s="334"/>
      <c r="M75" s="334"/>
      <c r="N75" s="1049" t="s">
        <v>2160</v>
      </c>
      <c r="O75" s="1468">
        <v>0</v>
      </c>
      <c r="P75" s="75">
        <v>322</v>
      </c>
      <c r="Q75" s="75">
        <v>322</v>
      </c>
      <c r="R75" s="281"/>
      <c r="S75" s="13" t="s">
        <v>1997</v>
      </c>
    </row>
    <row r="76" spans="1:19" ht="28.5">
      <c r="A76" s="1459">
        <f t="shared" si="10"/>
        <v>20.070000000000011</v>
      </c>
      <c r="B76" s="1443" t="s">
        <v>2009</v>
      </c>
      <c r="C76" s="312" t="s">
        <v>1995</v>
      </c>
      <c r="D76" s="37"/>
      <c r="E76" s="334"/>
      <c r="F76" s="334"/>
      <c r="G76" s="334"/>
      <c r="H76" s="334"/>
      <c r="I76" s="334"/>
      <c r="J76" s="334"/>
      <c r="K76" s="334"/>
      <c r="L76" s="334"/>
      <c r="M76" s="334"/>
      <c r="N76" s="1049" t="s">
        <v>2160</v>
      </c>
      <c r="O76" s="1468">
        <v>0</v>
      </c>
      <c r="P76" s="75">
        <v>911</v>
      </c>
      <c r="Q76" s="75">
        <v>911</v>
      </c>
      <c r="R76" s="281"/>
      <c r="S76" s="13" t="s">
        <v>1997</v>
      </c>
    </row>
    <row r="77" spans="1:19" ht="28.5">
      <c r="A77" s="1459">
        <f t="shared" si="10"/>
        <v>20.080000000000013</v>
      </c>
      <c r="B77" s="1443" t="s">
        <v>2010</v>
      </c>
      <c r="C77" s="312" t="s">
        <v>1995</v>
      </c>
      <c r="D77" s="37"/>
      <c r="E77" s="334"/>
      <c r="F77" s="334"/>
      <c r="G77" s="334"/>
      <c r="H77" s="334"/>
      <c r="I77" s="334"/>
      <c r="J77" s="334"/>
      <c r="K77" s="334"/>
      <c r="L77" s="334"/>
      <c r="M77" s="334"/>
      <c r="N77" s="1049" t="s">
        <v>2160</v>
      </c>
      <c r="O77" s="1468">
        <v>0</v>
      </c>
      <c r="P77" s="75">
        <v>250</v>
      </c>
      <c r="Q77" s="75">
        <v>250</v>
      </c>
      <c r="R77" s="281"/>
      <c r="S77" s="13" t="s">
        <v>1997</v>
      </c>
    </row>
    <row r="78" spans="1:19" ht="28.5">
      <c r="A78" s="1459">
        <f t="shared" si="10"/>
        <v>20.090000000000014</v>
      </c>
      <c r="B78" s="1443" t="s">
        <v>1990</v>
      </c>
      <c r="C78" s="312" t="s">
        <v>1995</v>
      </c>
      <c r="D78" s="37"/>
      <c r="E78" s="334"/>
      <c r="F78" s="334"/>
      <c r="G78" s="334"/>
      <c r="H78" s="334"/>
      <c r="I78" s="334"/>
      <c r="J78" s="334"/>
      <c r="K78" s="334"/>
      <c r="L78" s="334"/>
      <c r="M78" s="334"/>
      <c r="N78" s="1049" t="s">
        <v>2160</v>
      </c>
      <c r="O78" s="1468">
        <v>0</v>
      </c>
      <c r="P78" s="75">
        <v>375</v>
      </c>
      <c r="Q78" s="75">
        <v>375</v>
      </c>
      <c r="R78" s="281"/>
      <c r="S78" s="13" t="s">
        <v>1997</v>
      </c>
    </row>
    <row r="79" spans="1:19" ht="28.5">
      <c r="A79" s="1459">
        <f t="shared" si="10"/>
        <v>20.100000000000016</v>
      </c>
      <c r="B79" s="1443" t="s">
        <v>2011</v>
      </c>
      <c r="C79" s="312" t="s">
        <v>1995</v>
      </c>
      <c r="D79" s="37"/>
      <c r="E79" s="334"/>
      <c r="F79" s="334"/>
      <c r="G79" s="334"/>
      <c r="H79" s="334"/>
      <c r="I79" s="334"/>
      <c r="J79" s="334"/>
      <c r="K79" s="334"/>
      <c r="L79" s="334"/>
      <c r="M79" s="334"/>
      <c r="N79" s="1049" t="s">
        <v>2160</v>
      </c>
      <c r="O79" s="1468">
        <v>0</v>
      </c>
      <c r="P79" s="75">
        <v>500</v>
      </c>
      <c r="Q79" s="75">
        <v>500</v>
      </c>
      <c r="R79" s="281"/>
      <c r="S79" s="13" t="s">
        <v>1997</v>
      </c>
    </row>
    <row r="80" spans="1:19" ht="28.5">
      <c r="A80" s="1459">
        <f t="shared" si="10"/>
        <v>20.110000000000017</v>
      </c>
      <c r="B80" s="1443" t="s">
        <v>1992</v>
      </c>
      <c r="C80" s="312" t="s">
        <v>1995</v>
      </c>
      <c r="D80" s="37"/>
      <c r="E80" s="334"/>
      <c r="F80" s="334"/>
      <c r="G80" s="334"/>
      <c r="H80" s="334"/>
      <c r="I80" s="334"/>
      <c r="J80" s="334"/>
      <c r="K80" s="334"/>
      <c r="L80" s="334"/>
      <c r="M80" s="334"/>
      <c r="N80" s="1049" t="s">
        <v>2160</v>
      </c>
      <c r="O80" s="1468">
        <v>0</v>
      </c>
      <c r="P80" s="75">
        <v>60</v>
      </c>
      <c r="Q80" s="75">
        <v>60</v>
      </c>
      <c r="R80" s="281"/>
      <c r="S80" s="13" t="s">
        <v>1997</v>
      </c>
    </row>
    <row r="81" spans="1:19" ht="28.5">
      <c r="A81" s="1459">
        <f t="shared" si="10"/>
        <v>20.120000000000019</v>
      </c>
      <c r="B81" s="1443" t="s">
        <v>1993</v>
      </c>
      <c r="C81" s="312" t="s">
        <v>1995</v>
      </c>
      <c r="D81" s="37"/>
      <c r="E81" s="334"/>
      <c r="F81" s="334"/>
      <c r="G81" s="334"/>
      <c r="H81" s="334"/>
      <c r="I81" s="334"/>
      <c r="J81" s="334"/>
      <c r="K81" s="334"/>
      <c r="L81" s="334"/>
      <c r="M81" s="334"/>
      <c r="N81" s="1049" t="s">
        <v>2160</v>
      </c>
      <c r="O81" s="1468">
        <v>0</v>
      </c>
      <c r="P81" s="75">
        <v>192</v>
      </c>
      <c r="Q81" s="75">
        <v>192</v>
      </c>
      <c r="R81" s="281"/>
      <c r="S81" s="13" t="s">
        <v>1997</v>
      </c>
    </row>
    <row r="82" spans="1:19" ht="28.5">
      <c r="A82" s="1459">
        <f t="shared" si="10"/>
        <v>20.13000000000002</v>
      </c>
      <c r="B82" s="1443" t="s">
        <v>1994</v>
      </c>
      <c r="C82" s="312" t="s">
        <v>1995</v>
      </c>
      <c r="D82" s="37"/>
      <c r="E82" s="334"/>
      <c r="F82" s="334"/>
      <c r="G82" s="334"/>
      <c r="H82" s="334"/>
      <c r="I82" s="334"/>
      <c r="J82" s="334"/>
      <c r="K82" s="334"/>
      <c r="L82" s="334"/>
      <c r="M82" s="334"/>
      <c r="N82" s="1049" t="s">
        <v>2160</v>
      </c>
      <c r="O82" s="1468">
        <v>0</v>
      </c>
      <c r="P82" s="75">
        <v>110</v>
      </c>
      <c r="Q82" s="75">
        <v>110</v>
      </c>
      <c r="R82" s="281"/>
      <c r="S82" s="13" t="s">
        <v>1996</v>
      </c>
    </row>
    <row r="83" spans="1:19" ht="28.5">
      <c r="A83" s="1466">
        <v>21</v>
      </c>
      <c r="B83" s="1443" t="s">
        <v>2540</v>
      </c>
      <c r="C83" s="312" t="s">
        <v>2541</v>
      </c>
      <c r="D83" s="37"/>
      <c r="E83" s="334"/>
      <c r="F83" s="334"/>
      <c r="G83" s="334"/>
      <c r="H83" s="334"/>
      <c r="I83" s="334"/>
      <c r="J83" s="334"/>
      <c r="K83" s="334"/>
      <c r="L83" s="334"/>
      <c r="M83" s="334"/>
      <c r="N83" s="1049" t="s">
        <v>2160</v>
      </c>
      <c r="O83" s="1468">
        <v>0</v>
      </c>
      <c r="P83" s="75">
        <v>80</v>
      </c>
      <c r="Q83" s="75">
        <v>80</v>
      </c>
      <c r="R83" s="281"/>
      <c r="S83" s="13" t="s">
        <v>1997</v>
      </c>
    </row>
    <row r="84" spans="1:19" ht="28.5">
      <c r="A84" s="1466">
        <v>22</v>
      </c>
      <c r="B84" s="1443" t="s">
        <v>2205</v>
      </c>
      <c r="C84" s="312" t="s">
        <v>1695</v>
      </c>
      <c r="D84" s="37"/>
      <c r="E84" s="334"/>
      <c r="F84" s="334"/>
      <c r="G84" s="334"/>
      <c r="H84" s="334"/>
      <c r="I84" s="334"/>
      <c r="J84" s="334"/>
      <c r="K84" s="334"/>
      <c r="L84" s="334"/>
      <c r="M84" s="334"/>
      <c r="N84" s="1049" t="s">
        <v>2160</v>
      </c>
      <c r="O84" s="1468">
        <v>0</v>
      </c>
      <c r="P84" s="75">
        <v>125</v>
      </c>
      <c r="Q84" s="75">
        <v>125</v>
      </c>
      <c r="R84" s="281"/>
      <c r="S84" s="13" t="s">
        <v>1997</v>
      </c>
    </row>
    <row r="85" spans="1:19" ht="28.5">
      <c r="A85" s="1466">
        <v>23</v>
      </c>
      <c r="B85" s="1443" t="s">
        <v>2204</v>
      </c>
      <c r="C85" s="312" t="s">
        <v>2012</v>
      </c>
      <c r="D85" s="37"/>
      <c r="E85" s="17"/>
      <c r="F85" s="17"/>
      <c r="G85" s="17"/>
      <c r="H85" s="17"/>
      <c r="I85" s="17"/>
      <c r="J85" s="17"/>
      <c r="K85" s="17"/>
      <c r="L85" s="17"/>
      <c r="M85" s="17"/>
      <c r="N85" s="1049" t="s">
        <v>2160</v>
      </c>
      <c r="O85" s="1468">
        <v>0</v>
      </c>
      <c r="P85" s="75">
        <v>425</v>
      </c>
      <c r="Q85" s="75">
        <v>425</v>
      </c>
      <c r="R85" s="281"/>
      <c r="S85" s="13" t="s">
        <v>1997</v>
      </c>
    </row>
    <row r="86" spans="1:19" ht="31.5">
      <c r="A86" s="1466">
        <v>24</v>
      </c>
      <c r="B86" s="1477" t="s">
        <v>2842</v>
      </c>
      <c r="C86" s="1443" t="s">
        <v>2012</v>
      </c>
      <c r="D86" s="37"/>
      <c r="E86" s="334"/>
      <c r="F86" s="334"/>
      <c r="G86" s="334"/>
      <c r="H86" s="334"/>
      <c r="I86" s="334"/>
      <c r="J86" s="334"/>
      <c r="K86" s="334"/>
      <c r="L86" s="334"/>
      <c r="M86" s="334"/>
      <c r="N86" s="37"/>
      <c r="O86" s="1468">
        <v>0</v>
      </c>
      <c r="P86" s="1468">
        <v>0</v>
      </c>
      <c r="Q86" s="1558">
        <v>546</v>
      </c>
      <c r="R86" s="37"/>
    </row>
    <row r="87" spans="1:19" ht="31.5">
      <c r="A87" s="1466">
        <v>25</v>
      </c>
      <c r="B87" s="1477" t="s">
        <v>2843</v>
      </c>
      <c r="C87" s="1443" t="s">
        <v>2012</v>
      </c>
      <c r="D87" s="37"/>
      <c r="E87" s="334"/>
      <c r="F87" s="334"/>
      <c r="G87" s="334"/>
      <c r="H87" s="334"/>
      <c r="I87" s="334"/>
      <c r="J87" s="334"/>
      <c r="K87" s="334"/>
      <c r="L87" s="334"/>
      <c r="M87" s="334"/>
      <c r="N87" s="37"/>
      <c r="O87" s="1468">
        <v>0</v>
      </c>
      <c r="P87" s="1468">
        <v>0</v>
      </c>
      <c r="Q87" s="1558">
        <v>665</v>
      </c>
      <c r="R87" s="37"/>
    </row>
    <row r="88" spans="1:19" ht="28.5">
      <c r="A88" s="1466">
        <v>26</v>
      </c>
      <c r="B88" s="1477" t="s">
        <v>2844</v>
      </c>
      <c r="C88" s="1443" t="s">
        <v>2012</v>
      </c>
      <c r="D88" s="37"/>
      <c r="E88" s="334"/>
      <c r="F88" s="334"/>
      <c r="G88" s="334"/>
      <c r="H88" s="334"/>
      <c r="I88" s="334"/>
      <c r="J88" s="334"/>
      <c r="K88" s="334"/>
      <c r="L88" s="334"/>
      <c r="M88" s="334"/>
      <c r="N88" s="37"/>
      <c r="O88" s="1468">
        <v>0</v>
      </c>
      <c r="P88" s="1468">
        <v>0</v>
      </c>
      <c r="Q88" s="1558">
        <v>420</v>
      </c>
      <c r="R88" s="37"/>
    </row>
    <row r="89" spans="1:19" ht="28.5">
      <c r="A89" s="1466">
        <v>27</v>
      </c>
      <c r="B89" s="1477" t="s">
        <v>2845</v>
      </c>
      <c r="C89" s="1443" t="s">
        <v>2012</v>
      </c>
      <c r="D89" s="37"/>
      <c r="E89" s="334"/>
      <c r="F89" s="334"/>
      <c r="G89" s="334"/>
      <c r="H89" s="334"/>
      <c r="I89" s="334"/>
      <c r="J89" s="334"/>
      <c r="K89" s="334"/>
      <c r="L89" s="334"/>
      <c r="M89" s="334"/>
      <c r="N89" s="37"/>
      <c r="O89" s="1468">
        <v>0</v>
      </c>
      <c r="P89" s="1468">
        <v>0</v>
      </c>
      <c r="Q89" s="1558">
        <v>128</v>
      </c>
      <c r="R89" s="37"/>
    </row>
    <row r="90" spans="1:19" ht="28.5">
      <c r="A90" s="1466">
        <v>28</v>
      </c>
      <c r="B90" s="1477" t="s">
        <v>2846</v>
      </c>
      <c r="C90" s="1443" t="s">
        <v>2012</v>
      </c>
      <c r="D90" s="37"/>
      <c r="E90" s="334"/>
      <c r="F90" s="334"/>
      <c r="G90" s="334"/>
      <c r="H90" s="334"/>
      <c r="I90" s="334"/>
      <c r="J90" s="334"/>
      <c r="K90" s="334"/>
      <c r="L90" s="334"/>
      <c r="M90" s="334"/>
      <c r="N90" s="37"/>
      <c r="O90" s="1468">
        <v>0</v>
      </c>
      <c r="P90" s="1468">
        <v>0</v>
      </c>
      <c r="Q90" s="1558">
        <v>198</v>
      </c>
      <c r="R90" s="37"/>
    </row>
    <row r="91" spans="1:19" ht="28.5">
      <c r="A91" s="1466">
        <v>29</v>
      </c>
      <c r="B91" s="1477" t="s">
        <v>2847</v>
      </c>
      <c r="C91" s="1443" t="s">
        <v>2012</v>
      </c>
      <c r="D91" s="37"/>
      <c r="E91" s="334"/>
      <c r="F91" s="334"/>
      <c r="G91" s="334"/>
      <c r="H91" s="334"/>
      <c r="I91" s="334"/>
      <c r="J91" s="334"/>
      <c r="K91" s="334"/>
      <c r="L91" s="334"/>
      <c r="M91" s="334"/>
      <c r="N91" s="37"/>
      <c r="O91" s="1468">
        <v>0</v>
      </c>
      <c r="P91" s="1468">
        <v>0</v>
      </c>
      <c r="Q91" s="1558">
        <v>280</v>
      </c>
      <c r="R91" s="37"/>
    </row>
    <row r="92" spans="1:19" ht="28.5">
      <c r="A92" s="1466">
        <v>30</v>
      </c>
      <c r="B92" s="1477" t="s">
        <v>2848</v>
      </c>
      <c r="C92" s="1443" t="s">
        <v>2012</v>
      </c>
      <c r="D92" s="37"/>
      <c r="E92" s="334"/>
      <c r="F92" s="334"/>
      <c r="G92" s="334"/>
      <c r="H92" s="334"/>
      <c r="I92" s="334"/>
      <c r="J92" s="334"/>
      <c r="K92" s="334"/>
      <c r="L92" s="334"/>
      <c r="M92" s="334"/>
      <c r="N92" s="37"/>
      <c r="O92" s="1468">
        <v>0</v>
      </c>
      <c r="P92" s="1468">
        <v>0</v>
      </c>
      <c r="Q92" s="1558">
        <v>72</v>
      </c>
      <c r="R92" s="37"/>
    </row>
    <row r="93" spans="1:19" ht="28.5">
      <c r="A93" s="1466">
        <v>31</v>
      </c>
      <c r="B93" s="1477" t="s">
        <v>2849</v>
      </c>
      <c r="C93" s="1443" t="s">
        <v>2850</v>
      </c>
      <c r="D93" s="37"/>
      <c r="E93" s="334"/>
      <c r="F93" s="334"/>
      <c r="G93" s="334"/>
      <c r="H93" s="334"/>
      <c r="I93" s="334"/>
      <c r="J93" s="334"/>
      <c r="K93" s="334"/>
      <c r="L93" s="334"/>
      <c r="M93" s="334"/>
      <c r="N93" s="37"/>
      <c r="O93" s="1468">
        <v>0</v>
      </c>
      <c r="P93" s="1468">
        <v>0</v>
      </c>
      <c r="Q93" s="1558">
        <v>28500</v>
      </c>
      <c r="R93" s="37"/>
    </row>
    <row r="94" spans="1:19" ht="126">
      <c r="A94" s="1466">
        <v>32</v>
      </c>
      <c r="B94" s="1477" t="s">
        <v>2851</v>
      </c>
      <c r="C94" s="1443" t="s">
        <v>235</v>
      </c>
      <c r="D94" s="37"/>
      <c r="E94" s="334"/>
      <c r="F94" s="334"/>
      <c r="G94" s="334"/>
      <c r="H94" s="334"/>
      <c r="I94" s="334"/>
      <c r="J94" s="334"/>
      <c r="K94" s="334"/>
      <c r="L94" s="334"/>
      <c r="M94" s="334"/>
      <c r="N94" s="37"/>
      <c r="O94" s="1468">
        <v>0</v>
      </c>
      <c r="P94" s="1468">
        <v>0</v>
      </c>
      <c r="Q94" s="1558">
        <v>198558</v>
      </c>
      <c r="R94" s="37"/>
    </row>
    <row r="95" spans="1:19" ht="110.25">
      <c r="A95" s="1466">
        <v>33</v>
      </c>
      <c r="B95" s="1477" t="s">
        <v>2852</v>
      </c>
      <c r="C95" s="1443" t="s">
        <v>235</v>
      </c>
      <c r="D95" s="37"/>
      <c r="E95" s="334"/>
      <c r="F95" s="334"/>
      <c r="G95" s="334"/>
      <c r="H95" s="334"/>
      <c r="I95" s="334"/>
      <c r="J95" s="334"/>
      <c r="K95" s="334"/>
      <c r="L95" s="334"/>
      <c r="M95" s="334"/>
      <c r="N95" s="37"/>
      <c r="O95" s="1468">
        <v>0</v>
      </c>
      <c r="P95" s="1468">
        <v>0</v>
      </c>
      <c r="Q95" s="1558">
        <v>211486</v>
      </c>
      <c r="R95" s="37"/>
    </row>
    <row r="96" spans="1:19" ht="110.25">
      <c r="A96" s="1466">
        <v>34</v>
      </c>
      <c r="B96" s="1477" t="s">
        <v>2853</v>
      </c>
      <c r="C96" s="1443" t="s">
        <v>235</v>
      </c>
      <c r="D96" s="37"/>
      <c r="E96" s="334"/>
      <c r="F96" s="334"/>
      <c r="G96" s="334"/>
      <c r="H96" s="334"/>
      <c r="I96" s="334"/>
      <c r="J96" s="334"/>
      <c r="K96" s="334"/>
      <c r="L96" s="334"/>
      <c r="M96" s="334"/>
      <c r="N96" s="37"/>
      <c r="O96" s="1468">
        <v>0</v>
      </c>
      <c r="P96" s="1468">
        <v>0</v>
      </c>
      <c r="Q96" s="1558">
        <v>229384</v>
      </c>
      <c r="R96" s="37"/>
    </row>
    <row r="97" spans="1:18" ht="63">
      <c r="A97" s="1466">
        <v>35</v>
      </c>
      <c r="B97" s="1477" t="s">
        <v>2854</v>
      </c>
      <c r="C97" s="1443" t="s">
        <v>1986</v>
      </c>
      <c r="D97" s="37"/>
      <c r="E97" s="334"/>
      <c r="F97" s="334"/>
      <c r="G97" s="334"/>
      <c r="H97" s="334"/>
      <c r="I97" s="334"/>
      <c r="J97" s="334"/>
      <c r="K97" s="334"/>
      <c r="L97" s="334"/>
      <c r="M97" s="334"/>
      <c r="N97" s="37"/>
      <c r="O97" s="1468">
        <v>0</v>
      </c>
      <c r="P97" s="1468">
        <v>0</v>
      </c>
      <c r="Q97" s="1558">
        <v>44000</v>
      </c>
      <c r="R97" s="37"/>
    </row>
    <row r="98" spans="1:18" ht="63">
      <c r="A98" s="1466">
        <v>36</v>
      </c>
      <c r="B98" s="1477" t="s">
        <v>2855</v>
      </c>
      <c r="C98" s="1443" t="s">
        <v>1986</v>
      </c>
      <c r="D98" s="37"/>
      <c r="E98" s="334"/>
      <c r="F98" s="334"/>
      <c r="G98" s="334"/>
      <c r="H98" s="334"/>
      <c r="I98" s="334"/>
      <c r="J98" s="334"/>
      <c r="K98" s="334"/>
      <c r="L98" s="334"/>
      <c r="M98" s="334"/>
      <c r="N98" s="37"/>
      <c r="O98" s="1468">
        <v>0</v>
      </c>
      <c r="P98" s="1468">
        <v>0</v>
      </c>
      <c r="Q98" s="1558">
        <v>55440</v>
      </c>
      <c r="R98" s="37"/>
    </row>
    <row r="99" spans="1:18" ht="63">
      <c r="A99" s="1466">
        <v>37</v>
      </c>
      <c r="B99" s="1477" t="s">
        <v>2856</v>
      </c>
      <c r="C99" s="1443" t="s">
        <v>1986</v>
      </c>
      <c r="D99" s="37"/>
      <c r="E99" s="334"/>
      <c r="F99" s="334"/>
      <c r="G99" s="334"/>
      <c r="H99" s="334"/>
      <c r="I99" s="334"/>
      <c r="J99" s="334"/>
      <c r="K99" s="334"/>
      <c r="L99" s="334"/>
      <c r="M99" s="334"/>
      <c r="N99" s="37"/>
      <c r="O99" s="1468">
        <v>0</v>
      </c>
      <c r="P99" s="1468">
        <v>0</v>
      </c>
      <c r="Q99" s="1558">
        <v>71280</v>
      </c>
      <c r="R99" s="37"/>
    </row>
    <row r="100" spans="1:18" ht="31.5">
      <c r="A100" s="1466">
        <v>38</v>
      </c>
      <c r="B100" s="1477" t="s">
        <v>2857</v>
      </c>
      <c r="C100" s="1443" t="s">
        <v>1986</v>
      </c>
      <c r="D100" s="37"/>
      <c r="E100" s="334"/>
      <c r="F100" s="334"/>
      <c r="G100" s="334"/>
      <c r="H100" s="334"/>
      <c r="I100" s="334"/>
      <c r="J100" s="334"/>
      <c r="K100" s="334"/>
      <c r="L100" s="334"/>
      <c r="M100" s="334"/>
      <c r="N100" s="37"/>
      <c r="O100" s="1468">
        <v>0</v>
      </c>
      <c r="P100" s="1468">
        <v>0</v>
      </c>
      <c r="Q100" s="1558">
        <v>17500</v>
      </c>
      <c r="R100" s="37"/>
    </row>
    <row r="101" spans="1:18" ht="31.5">
      <c r="A101" s="1466">
        <v>39</v>
      </c>
      <c r="B101" s="1477" t="s">
        <v>2858</v>
      </c>
      <c r="C101" s="1443" t="s">
        <v>1986</v>
      </c>
      <c r="D101" s="37"/>
      <c r="E101" s="334"/>
      <c r="F101" s="334"/>
      <c r="G101" s="334"/>
      <c r="H101" s="334"/>
      <c r="I101" s="334"/>
      <c r="J101" s="334"/>
      <c r="K101" s="334"/>
      <c r="L101" s="334"/>
      <c r="M101" s="334"/>
      <c r="N101" s="37"/>
      <c r="O101" s="1468">
        <v>0</v>
      </c>
      <c r="P101" s="1468">
        <v>0</v>
      </c>
      <c r="Q101" s="1558">
        <v>24500</v>
      </c>
      <c r="R101" s="37"/>
    </row>
    <row r="102" spans="1:18" ht="31.5">
      <c r="A102" s="1466">
        <v>40</v>
      </c>
      <c r="B102" s="1477" t="s">
        <v>2859</v>
      </c>
      <c r="C102" s="1443" t="s">
        <v>1986</v>
      </c>
      <c r="D102" s="37"/>
      <c r="E102" s="334"/>
      <c r="F102" s="334"/>
      <c r="G102" s="334"/>
      <c r="H102" s="334"/>
      <c r="I102" s="334"/>
      <c r="J102" s="334"/>
      <c r="K102" s="334"/>
      <c r="L102" s="334"/>
      <c r="M102" s="334"/>
      <c r="N102" s="37"/>
      <c r="O102" s="1468">
        <v>0</v>
      </c>
      <c r="P102" s="1468">
        <v>0</v>
      </c>
      <c r="Q102" s="1558">
        <v>42000</v>
      </c>
      <c r="R102" s="37"/>
    </row>
    <row r="103" spans="1:18" ht="47.25">
      <c r="A103" s="1466">
        <v>41</v>
      </c>
      <c r="B103" s="1477" t="s">
        <v>2860</v>
      </c>
      <c r="C103" s="1443" t="s">
        <v>1986</v>
      </c>
      <c r="D103" s="37"/>
      <c r="E103" s="334"/>
      <c r="F103" s="334"/>
      <c r="G103" s="334"/>
      <c r="H103" s="334"/>
      <c r="I103" s="334"/>
      <c r="J103" s="334"/>
      <c r="K103" s="334"/>
      <c r="L103" s="334"/>
      <c r="M103" s="334"/>
      <c r="N103" s="37"/>
      <c r="O103" s="1468">
        <v>0</v>
      </c>
      <c r="P103" s="1468">
        <v>0</v>
      </c>
      <c r="Q103" s="1558">
        <v>14100</v>
      </c>
      <c r="R103" s="37"/>
    </row>
    <row r="104" spans="1:18" ht="28.5">
      <c r="A104" s="1466">
        <v>42</v>
      </c>
      <c r="B104" s="1477" t="s">
        <v>2861</v>
      </c>
      <c r="C104" s="1443" t="s">
        <v>235</v>
      </c>
      <c r="D104" s="37"/>
      <c r="E104" s="334"/>
      <c r="F104" s="334"/>
      <c r="G104" s="334"/>
      <c r="H104" s="334"/>
      <c r="I104" s="334"/>
      <c r="J104" s="334"/>
      <c r="K104" s="334"/>
      <c r="L104" s="334"/>
      <c r="M104" s="334"/>
      <c r="N104" s="37"/>
      <c r="O104" s="1468">
        <v>0</v>
      </c>
      <c r="P104" s="1468">
        <v>0</v>
      </c>
      <c r="Q104" s="1558">
        <v>2500</v>
      </c>
      <c r="R104" s="37"/>
    </row>
    <row r="105" spans="1:18" ht="28.5">
      <c r="A105" s="1466">
        <v>43</v>
      </c>
      <c r="B105" s="1477" t="s">
        <v>2862</v>
      </c>
      <c r="C105" s="1443" t="s">
        <v>2012</v>
      </c>
      <c r="D105" s="37"/>
      <c r="E105" s="334"/>
      <c r="F105" s="334"/>
      <c r="G105" s="334"/>
      <c r="H105" s="334"/>
      <c r="I105" s="334"/>
      <c r="J105" s="334"/>
      <c r="K105" s="334"/>
      <c r="L105" s="334"/>
      <c r="M105" s="334"/>
      <c r="N105" s="37"/>
      <c r="O105" s="1468">
        <v>0</v>
      </c>
      <c r="P105" s="1468">
        <v>0</v>
      </c>
      <c r="Q105" s="1558">
        <v>106</v>
      </c>
      <c r="R105" s="37"/>
    </row>
    <row r="106" spans="1:18" ht="110.25">
      <c r="A106" s="1466">
        <v>44</v>
      </c>
      <c r="B106" s="1477" t="s">
        <v>2863</v>
      </c>
      <c r="C106" s="1443" t="s">
        <v>235</v>
      </c>
      <c r="D106" s="37"/>
      <c r="E106" s="334"/>
      <c r="F106" s="334"/>
      <c r="G106" s="334"/>
      <c r="H106" s="334"/>
      <c r="I106" s="334"/>
      <c r="J106" s="334"/>
      <c r="K106" s="334"/>
      <c r="L106" s="334"/>
      <c r="M106" s="334"/>
      <c r="N106" s="37"/>
      <c r="O106" s="1468">
        <v>0</v>
      </c>
      <c r="P106" s="1468">
        <v>0</v>
      </c>
      <c r="Q106" s="1558">
        <v>335000</v>
      </c>
      <c r="R106" s="37"/>
    </row>
    <row r="107" spans="1:18" ht="110.25">
      <c r="A107" s="1466">
        <v>45</v>
      </c>
      <c r="B107" s="1477" t="s">
        <v>2864</v>
      </c>
      <c r="C107" s="1443" t="s">
        <v>235</v>
      </c>
      <c r="D107" s="37"/>
      <c r="E107" s="334"/>
      <c r="F107" s="334"/>
      <c r="G107" s="334"/>
      <c r="H107" s="334"/>
      <c r="I107" s="334"/>
      <c r="J107" s="334"/>
      <c r="K107" s="334"/>
      <c r="L107" s="334"/>
      <c r="M107" s="334"/>
      <c r="N107" s="37"/>
      <c r="O107" s="1468">
        <v>0</v>
      </c>
      <c r="P107" s="1468">
        <v>0</v>
      </c>
      <c r="Q107" s="1558">
        <v>450000</v>
      </c>
      <c r="R107" s="37"/>
    </row>
    <row r="108" spans="1:18" ht="97.9" customHeight="1">
      <c r="A108" s="1466">
        <v>46</v>
      </c>
      <c r="B108" s="1477" t="s">
        <v>2865</v>
      </c>
      <c r="C108" s="1443" t="s">
        <v>1986</v>
      </c>
      <c r="D108" s="37"/>
      <c r="E108" s="334"/>
      <c r="F108" s="334"/>
      <c r="G108" s="334"/>
      <c r="H108" s="334"/>
      <c r="I108" s="334"/>
      <c r="J108" s="334"/>
      <c r="K108" s="334"/>
      <c r="L108" s="334"/>
      <c r="M108" s="334"/>
      <c r="N108" s="37"/>
      <c r="O108" s="1468">
        <v>0</v>
      </c>
      <c r="P108" s="1468">
        <v>0</v>
      </c>
      <c r="Q108" s="1558">
        <v>150000</v>
      </c>
      <c r="R108" s="37"/>
    </row>
  </sheetData>
  <mergeCells count="1">
    <mergeCell ref="A1:R1"/>
  </mergeCells>
  <printOptions horizontalCentered="1"/>
  <pageMargins left="1.24" right="0.19" top="1.03" bottom="0.73" header="0.5" footer="0.56999999999999995"/>
  <pageSetup paperSize="9" scale="81"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R76"/>
  <sheetViews>
    <sheetView tabSelected="1" view="pageLayout" zoomScaleNormal="100" zoomScaleSheetLayoutView="130" workbookViewId="0">
      <selection activeCell="D24" sqref="D24"/>
    </sheetView>
  </sheetViews>
  <sheetFormatPr defaultColWidth="9.28515625" defaultRowHeight="15"/>
  <cols>
    <col min="1" max="1" width="6" style="60" bestFit="1" customWidth="1"/>
    <col min="2" max="2" width="39.28515625" style="61" customWidth="1"/>
    <col min="3" max="3" width="8" style="60" customWidth="1"/>
    <col min="4" max="4" width="4.42578125" style="60" hidden="1" customWidth="1"/>
    <col min="5" max="5" width="9.7109375" style="62" hidden="1" customWidth="1"/>
    <col min="6" max="6" width="10.28515625" style="62" hidden="1" customWidth="1"/>
    <col min="7" max="7" width="4.42578125" style="62" hidden="1" customWidth="1"/>
    <col min="8" max="9" width="14.7109375" style="117" hidden="1" customWidth="1"/>
    <col min="10" max="13" width="14.7109375" style="62" hidden="1" customWidth="1"/>
    <col min="14" max="14" width="15.28515625" style="13" hidden="1" customWidth="1"/>
    <col min="15" max="17" width="15.28515625" style="13" customWidth="1"/>
    <col min="18" max="16384" width="9.28515625" style="13"/>
  </cols>
  <sheetData>
    <row r="1" spans="1:18" ht="29.25" thickBot="1">
      <c r="A1" s="1606" t="s">
        <v>2977</v>
      </c>
      <c r="B1" s="1606"/>
      <c r="C1" s="1606"/>
      <c r="D1" s="1606"/>
      <c r="E1" s="1606"/>
      <c r="F1" s="1606"/>
      <c r="G1" s="1606"/>
      <c r="H1" s="1606"/>
      <c r="I1" s="1606"/>
      <c r="J1" s="1606"/>
      <c r="K1" s="1606"/>
      <c r="L1" s="1606"/>
      <c r="M1" s="1606"/>
      <c r="N1" s="1606"/>
      <c r="O1" s="1606"/>
      <c r="P1" s="1606"/>
      <c r="Q1" s="1606"/>
      <c r="R1" s="1606"/>
    </row>
    <row r="2" spans="1:18" ht="52.9" customHeight="1">
      <c r="A2" s="1108" t="s">
        <v>0</v>
      </c>
      <c r="B2" s="1109" t="s">
        <v>51</v>
      </c>
      <c r="C2" s="1109" t="s">
        <v>8</v>
      </c>
      <c r="D2" s="484" t="s">
        <v>52</v>
      </c>
      <c r="E2" s="485" t="s">
        <v>53</v>
      </c>
      <c r="F2" s="485" t="s">
        <v>54</v>
      </c>
      <c r="G2" s="485" t="s">
        <v>55</v>
      </c>
      <c r="H2" s="486" t="s">
        <v>1385</v>
      </c>
      <c r="I2" s="486" t="s">
        <v>1420</v>
      </c>
      <c r="J2" s="486" t="s">
        <v>1417</v>
      </c>
      <c r="K2" s="486" t="s">
        <v>1428</v>
      </c>
      <c r="L2" s="486" t="s">
        <v>1432</v>
      </c>
      <c r="M2" s="486" t="s">
        <v>1463</v>
      </c>
      <c r="N2" s="666" t="s">
        <v>2190</v>
      </c>
      <c r="O2" s="666" t="s">
        <v>2191</v>
      </c>
      <c r="P2" s="666" t="s">
        <v>2192</v>
      </c>
      <c r="Q2" s="666" t="s">
        <v>2543</v>
      </c>
      <c r="R2" s="483" t="s">
        <v>9</v>
      </c>
    </row>
    <row r="3" spans="1:18" ht="19.5">
      <c r="A3" s="1110">
        <v>1</v>
      </c>
      <c r="B3" s="326" t="s">
        <v>732</v>
      </c>
      <c r="C3" s="619" t="s">
        <v>733</v>
      </c>
      <c r="D3" s="323"/>
      <c r="E3" s="321"/>
      <c r="F3" s="321"/>
      <c r="G3" s="321"/>
      <c r="H3" s="321">
        <v>950</v>
      </c>
      <c r="I3" s="322">
        <v>998</v>
      </c>
      <c r="J3" s="322">
        <f>I3</f>
        <v>998</v>
      </c>
      <c r="K3" s="322">
        <f>J3</f>
        <v>998</v>
      </c>
      <c r="L3" s="322">
        <f>K3</f>
        <v>998</v>
      </c>
      <c r="M3" s="322">
        <f>L3*1.1</f>
        <v>1097.8000000000002</v>
      </c>
      <c r="N3" s="322">
        <f>M3</f>
        <v>1097.8000000000002</v>
      </c>
      <c r="O3" s="322">
        <f>N3</f>
        <v>1097.8000000000002</v>
      </c>
      <c r="P3" s="322">
        <f>O3</f>
        <v>1097.8000000000002</v>
      </c>
      <c r="Q3" s="1253">
        <f>P3</f>
        <v>1097.8000000000002</v>
      </c>
      <c r="R3" s="194"/>
    </row>
    <row r="4" spans="1:18" ht="19.5">
      <c r="A4" s="1110">
        <v>2</v>
      </c>
      <c r="B4" s="326" t="s">
        <v>734</v>
      </c>
      <c r="C4" s="619" t="s">
        <v>733</v>
      </c>
      <c r="D4" s="323"/>
      <c r="E4" s="321"/>
      <c r="F4" s="321"/>
      <c r="G4" s="321"/>
      <c r="H4" s="321">
        <v>575</v>
      </c>
      <c r="I4" s="322">
        <v>604</v>
      </c>
      <c r="J4" s="322">
        <f t="shared" ref="J4:J67" si="0">I4</f>
        <v>604</v>
      </c>
      <c r="K4" s="322">
        <f t="shared" ref="K4:K67" si="1">J4</f>
        <v>604</v>
      </c>
      <c r="L4" s="322">
        <f t="shared" ref="L4:L67" si="2">K4</f>
        <v>604</v>
      </c>
      <c r="M4" s="322">
        <f t="shared" ref="M4:M67" si="3">L4*1.1</f>
        <v>664.40000000000009</v>
      </c>
      <c r="N4" s="322">
        <f t="shared" ref="N4:N67" si="4">M4</f>
        <v>664.40000000000009</v>
      </c>
      <c r="O4" s="322">
        <f t="shared" ref="O4:O67" si="5">N4</f>
        <v>664.40000000000009</v>
      </c>
      <c r="P4" s="322">
        <f t="shared" ref="P4:P67" si="6">O4</f>
        <v>664.40000000000009</v>
      </c>
      <c r="Q4" s="1253">
        <f t="shared" ref="Q4:Q67" si="7">P4</f>
        <v>664.40000000000009</v>
      </c>
      <c r="R4" s="194"/>
    </row>
    <row r="5" spans="1:18" ht="19.5">
      <c r="A5" s="1110">
        <v>3</v>
      </c>
      <c r="B5" s="326" t="s">
        <v>735</v>
      </c>
      <c r="C5" s="619" t="s">
        <v>733</v>
      </c>
      <c r="D5" s="323"/>
      <c r="E5" s="321"/>
      <c r="F5" s="321"/>
      <c r="G5" s="321"/>
      <c r="H5" s="321">
        <v>550</v>
      </c>
      <c r="I5" s="322">
        <v>578</v>
      </c>
      <c r="J5" s="322">
        <f t="shared" si="0"/>
        <v>578</v>
      </c>
      <c r="K5" s="322">
        <f t="shared" si="1"/>
        <v>578</v>
      </c>
      <c r="L5" s="322">
        <f t="shared" si="2"/>
        <v>578</v>
      </c>
      <c r="M5" s="322">
        <f t="shared" si="3"/>
        <v>635.80000000000007</v>
      </c>
      <c r="N5" s="322">
        <f t="shared" si="4"/>
        <v>635.80000000000007</v>
      </c>
      <c r="O5" s="322">
        <f t="shared" si="5"/>
        <v>635.80000000000007</v>
      </c>
      <c r="P5" s="322">
        <f t="shared" si="6"/>
        <v>635.80000000000007</v>
      </c>
      <c r="Q5" s="1253">
        <f t="shared" si="7"/>
        <v>635.80000000000007</v>
      </c>
      <c r="R5" s="194"/>
    </row>
    <row r="6" spans="1:18" ht="19.5">
      <c r="A6" s="1110">
        <v>4</v>
      </c>
      <c r="B6" s="326" t="s">
        <v>736</v>
      </c>
      <c r="C6" s="619" t="s">
        <v>733</v>
      </c>
      <c r="D6" s="323"/>
      <c r="E6" s="321"/>
      <c r="F6" s="321"/>
      <c r="G6" s="321"/>
      <c r="H6" s="321">
        <v>600</v>
      </c>
      <c r="I6" s="322">
        <v>630</v>
      </c>
      <c r="J6" s="322">
        <f t="shared" si="0"/>
        <v>630</v>
      </c>
      <c r="K6" s="322">
        <f t="shared" si="1"/>
        <v>630</v>
      </c>
      <c r="L6" s="322">
        <f t="shared" si="2"/>
        <v>630</v>
      </c>
      <c r="M6" s="322">
        <f t="shared" si="3"/>
        <v>693</v>
      </c>
      <c r="N6" s="322">
        <f t="shared" si="4"/>
        <v>693</v>
      </c>
      <c r="O6" s="322">
        <f t="shared" si="5"/>
        <v>693</v>
      </c>
      <c r="P6" s="322">
        <f t="shared" si="6"/>
        <v>693</v>
      </c>
      <c r="Q6" s="1253">
        <f t="shared" si="7"/>
        <v>693</v>
      </c>
      <c r="R6" s="194"/>
    </row>
    <row r="7" spans="1:18" ht="19.5">
      <c r="A7" s="1110">
        <v>5</v>
      </c>
      <c r="B7" s="326" t="s">
        <v>737</v>
      </c>
      <c r="C7" s="619" t="s">
        <v>733</v>
      </c>
      <c r="D7" s="323"/>
      <c r="E7" s="321"/>
      <c r="F7" s="321"/>
      <c r="G7" s="321"/>
      <c r="H7" s="321">
        <v>550</v>
      </c>
      <c r="I7" s="322">
        <v>578</v>
      </c>
      <c r="J7" s="322">
        <f t="shared" si="0"/>
        <v>578</v>
      </c>
      <c r="K7" s="322">
        <f t="shared" si="1"/>
        <v>578</v>
      </c>
      <c r="L7" s="322">
        <f t="shared" si="2"/>
        <v>578</v>
      </c>
      <c r="M7" s="322">
        <f t="shared" si="3"/>
        <v>635.80000000000007</v>
      </c>
      <c r="N7" s="322">
        <f t="shared" si="4"/>
        <v>635.80000000000007</v>
      </c>
      <c r="O7" s="322">
        <f t="shared" si="5"/>
        <v>635.80000000000007</v>
      </c>
      <c r="P7" s="322">
        <f t="shared" si="6"/>
        <v>635.80000000000007</v>
      </c>
      <c r="Q7" s="1253">
        <f t="shared" si="7"/>
        <v>635.80000000000007</v>
      </c>
      <c r="R7" s="194"/>
    </row>
    <row r="8" spans="1:18" ht="19.5">
      <c r="A8" s="1110">
        <v>6</v>
      </c>
      <c r="B8" s="326" t="s">
        <v>738</v>
      </c>
      <c r="C8" s="619" t="s">
        <v>733</v>
      </c>
      <c r="D8" s="323"/>
      <c r="E8" s="321"/>
      <c r="F8" s="321"/>
      <c r="G8" s="321"/>
      <c r="H8" s="321">
        <v>450</v>
      </c>
      <c r="I8" s="322">
        <v>473</v>
      </c>
      <c r="J8" s="322">
        <f t="shared" si="0"/>
        <v>473</v>
      </c>
      <c r="K8" s="322">
        <f t="shared" si="1"/>
        <v>473</v>
      </c>
      <c r="L8" s="322">
        <f t="shared" si="2"/>
        <v>473</v>
      </c>
      <c r="M8" s="322">
        <f t="shared" si="3"/>
        <v>520.30000000000007</v>
      </c>
      <c r="N8" s="322">
        <f t="shared" si="4"/>
        <v>520.30000000000007</v>
      </c>
      <c r="O8" s="322">
        <f t="shared" si="5"/>
        <v>520.30000000000007</v>
      </c>
      <c r="P8" s="322">
        <f t="shared" si="6"/>
        <v>520.30000000000007</v>
      </c>
      <c r="Q8" s="1253">
        <f t="shared" si="7"/>
        <v>520.30000000000007</v>
      </c>
      <c r="R8" s="194"/>
    </row>
    <row r="9" spans="1:18" ht="19.5">
      <c r="A9" s="1110">
        <v>7</v>
      </c>
      <c r="B9" s="326" t="s">
        <v>739</v>
      </c>
      <c r="C9" s="619" t="s">
        <v>733</v>
      </c>
      <c r="D9" s="323"/>
      <c r="E9" s="321"/>
      <c r="F9" s="321"/>
      <c r="G9" s="321"/>
      <c r="H9" s="321">
        <v>2200</v>
      </c>
      <c r="I9" s="322">
        <v>2310</v>
      </c>
      <c r="J9" s="322">
        <f t="shared" si="0"/>
        <v>2310</v>
      </c>
      <c r="K9" s="322">
        <f t="shared" si="1"/>
        <v>2310</v>
      </c>
      <c r="L9" s="322">
        <f t="shared" si="2"/>
        <v>2310</v>
      </c>
      <c r="M9" s="322">
        <f t="shared" si="3"/>
        <v>2541</v>
      </c>
      <c r="N9" s="322">
        <f t="shared" si="4"/>
        <v>2541</v>
      </c>
      <c r="O9" s="322">
        <f t="shared" si="5"/>
        <v>2541</v>
      </c>
      <c r="P9" s="322">
        <f t="shared" si="6"/>
        <v>2541</v>
      </c>
      <c r="Q9" s="1253">
        <f t="shared" si="7"/>
        <v>2541</v>
      </c>
      <c r="R9" s="194"/>
    </row>
    <row r="10" spans="1:18" ht="19.5">
      <c r="A10" s="1110">
        <v>8</v>
      </c>
      <c r="B10" s="326" t="s">
        <v>740</v>
      </c>
      <c r="C10" s="619" t="s">
        <v>733</v>
      </c>
      <c r="D10" s="323"/>
      <c r="E10" s="321"/>
      <c r="F10" s="321"/>
      <c r="G10" s="321"/>
      <c r="H10" s="321">
        <v>275</v>
      </c>
      <c r="I10" s="322">
        <v>289</v>
      </c>
      <c r="J10" s="322">
        <f t="shared" si="0"/>
        <v>289</v>
      </c>
      <c r="K10" s="322">
        <f t="shared" si="1"/>
        <v>289</v>
      </c>
      <c r="L10" s="322">
        <f t="shared" si="2"/>
        <v>289</v>
      </c>
      <c r="M10" s="322">
        <f t="shared" si="3"/>
        <v>317.90000000000003</v>
      </c>
      <c r="N10" s="322">
        <f t="shared" si="4"/>
        <v>317.90000000000003</v>
      </c>
      <c r="O10" s="322">
        <f t="shared" si="5"/>
        <v>317.90000000000003</v>
      </c>
      <c r="P10" s="322">
        <f t="shared" si="6"/>
        <v>317.90000000000003</v>
      </c>
      <c r="Q10" s="1253">
        <f t="shared" si="7"/>
        <v>317.90000000000003</v>
      </c>
      <c r="R10" s="194"/>
    </row>
    <row r="11" spans="1:18" ht="19.5">
      <c r="A11" s="1110">
        <v>9</v>
      </c>
      <c r="B11" s="326" t="s">
        <v>741</v>
      </c>
      <c r="C11" s="619" t="s">
        <v>733</v>
      </c>
      <c r="D11" s="323"/>
      <c r="E11" s="321"/>
      <c r="F11" s="321"/>
      <c r="G11" s="321"/>
      <c r="H11" s="321">
        <v>650</v>
      </c>
      <c r="I11" s="322">
        <v>683</v>
      </c>
      <c r="J11" s="322">
        <f t="shared" si="0"/>
        <v>683</v>
      </c>
      <c r="K11" s="322">
        <f t="shared" si="1"/>
        <v>683</v>
      </c>
      <c r="L11" s="322">
        <f t="shared" si="2"/>
        <v>683</v>
      </c>
      <c r="M11" s="322">
        <f t="shared" si="3"/>
        <v>751.30000000000007</v>
      </c>
      <c r="N11" s="322">
        <f t="shared" si="4"/>
        <v>751.30000000000007</v>
      </c>
      <c r="O11" s="322">
        <f t="shared" si="5"/>
        <v>751.30000000000007</v>
      </c>
      <c r="P11" s="322">
        <f t="shared" si="6"/>
        <v>751.30000000000007</v>
      </c>
      <c r="Q11" s="1253">
        <f t="shared" si="7"/>
        <v>751.30000000000007</v>
      </c>
      <c r="R11" s="194"/>
    </row>
    <row r="12" spans="1:18" ht="19.5">
      <c r="A12" s="1110">
        <v>10</v>
      </c>
      <c r="B12" s="326" t="s">
        <v>742</v>
      </c>
      <c r="C12" s="619" t="s">
        <v>733</v>
      </c>
      <c r="D12" s="323"/>
      <c r="E12" s="321"/>
      <c r="F12" s="321"/>
      <c r="G12" s="321"/>
      <c r="H12" s="321">
        <v>600</v>
      </c>
      <c r="I12" s="322">
        <v>630</v>
      </c>
      <c r="J12" s="322">
        <f t="shared" si="0"/>
        <v>630</v>
      </c>
      <c r="K12" s="322">
        <f t="shared" si="1"/>
        <v>630</v>
      </c>
      <c r="L12" s="322">
        <f t="shared" si="2"/>
        <v>630</v>
      </c>
      <c r="M12" s="322">
        <f t="shared" si="3"/>
        <v>693</v>
      </c>
      <c r="N12" s="322">
        <f t="shared" si="4"/>
        <v>693</v>
      </c>
      <c r="O12" s="322">
        <f t="shared" si="5"/>
        <v>693</v>
      </c>
      <c r="P12" s="322">
        <f t="shared" si="6"/>
        <v>693</v>
      </c>
      <c r="Q12" s="1253">
        <f t="shared" si="7"/>
        <v>693</v>
      </c>
      <c r="R12" s="194"/>
    </row>
    <row r="13" spans="1:18" ht="19.5">
      <c r="A13" s="1110">
        <v>11</v>
      </c>
      <c r="B13" s="326" t="s">
        <v>743</v>
      </c>
      <c r="C13" s="619" t="s">
        <v>733</v>
      </c>
      <c r="D13" s="323"/>
      <c r="E13" s="321"/>
      <c r="F13" s="321"/>
      <c r="G13" s="321"/>
      <c r="H13" s="321">
        <v>1200</v>
      </c>
      <c r="I13" s="322">
        <v>1260</v>
      </c>
      <c r="J13" s="322">
        <f t="shared" si="0"/>
        <v>1260</v>
      </c>
      <c r="K13" s="322">
        <f t="shared" si="1"/>
        <v>1260</v>
      </c>
      <c r="L13" s="322">
        <f t="shared" si="2"/>
        <v>1260</v>
      </c>
      <c r="M13" s="322">
        <f t="shared" si="3"/>
        <v>1386</v>
      </c>
      <c r="N13" s="322">
        <f t="shared" si="4"/>
        <v>1386</v>
      </c>
      <c r="O13" s="322">
        <f t="shared" si="5"/>
        <v>1386</v>
      </c>
      <c r="P13" s="322">
        <f t="shared" si="6"/>
        <v>1386</v>
      </c>
      <c r="Q13" s="1253">
        <f t="shared" si="7"/>
        <v>1386</v>
      </c>
      <c r="R13" s="194"/>
    </row>
    <row r="14" spans="1:18" ht="19.5">
      <c r="A14" s="1110">
        <v>12</v>
      </c>
      <c r="B14" s="326" t="s">
        <v>744</v>
      </c>
      <c r="C14" s="619" t="s">
        <v>733</v>
      </c>
      <c r="D14" s="323"/>
      <c r="E14" s="321"/>
      <c r="F14" s="321"/>
      <c r="G14" s="321"/>
      <c r="H14" s="321">
        <v>700</v>
      </c>
      <c r="I14" s="322">
        <v>735</v>
      </c>
      <c r="J14" s="322">
        <f t="shared" si="0"/>
        <v>735</v>
      </c>
      <c r="K14" s="322">
        <f t="shared" si="1"/>
        <v>735</v>
      </c>
      <c r="L14" s="322">
        <f t="shared" si="2"/>
        <v>735</v>
      </c>
      <c r="M14" s="322">
        <f t="shared" si="3"/>
        <v>808.50000000000011</v>
      </c>
      <c r="N14" s="322">
        <f t="shared" si="4"/>
        <v>808.50000000000011</v>
      </c>
      <c r="O14" s="322">
        <f t="shared" si="5"/>
        <v>808.50000000000011</v>
      </c>
      <c r="P14" s="322">
        <f t="shared" si="6"/>
        <v>808.50000000000011</v>
      </c>
      <c r="Q14" s="1253">
        <f t="shared" si="7"/>
        <v>808.50000000000011</v>
      </c>
      <c r="R14" s="194"/>
    </row>
    <row r="15" spans="1:18" ht="19.5">
      <c r="A15" s="1110">
        <v>13</v>
      </c>
      <c r="B15" s="326" t="s">
        <v>745</v>
      </c>
      <c r="C15" s="619" t="s">
        <v>733</v>
      </c>
      <c r="D15" s="323"/>
      <c r="E15" s="321"/>
      <c r="F15" s="321"/>
      <c r="G15" s="321"/>
      <c r="H15" s="321">
        <v>275</v>
      </c>
      <c r="I15" s="322">
        <v>289</v>
      </c>
      <c r="J15" s="322">
        <f t="shared" si="0"/>
        <v>289</v>
      </c>
      <c r="K15" s="322">
        <f t="shared" si="1"/>
        <v>289</v>
      </c>
      <c r="L15" s="322">
        <f t="shared" si="2"/>
        <v>289</v>
      </c>
      <c r="M15" s="322">
        <f t="shared" si="3"/>
        <v>317.90000000000003</v>
      </c>
      <c r="N15" s="322">
        <f t="shared" si="4"/>
        <v>317.90000000000003</v>
      </c>
      <c r="O15" s="322">
        <f t="shared" si="5"/>
        <v>317.90000000000003</v>
      </c>
      <c r="P15" s="322">
        <f t="shared" si="6"/>
        <v>317.90000000000003</v>
      </c>
      <c r="Q15" s="1253">
        <f t="shared" si="7"/>
        <v>317.90000000000003</v>
      </c>
      <c r="R15" s="194"/>
    </row>
    <row r="16" spans="1:18" ht="19.5">
      <c r="A16" s="1110">
        <v>14</v>
      </c>
      <c r="B16" s="1254" t="s">
        <v>2585</v>
      </c>
      <c r="C16" s="619" t="s">
        <v>733</v>
      </c>
      <c r="D16" s="323"/>
      <c r="E16" s="321"/>
      <c r="F16" s="321"/>
      <c r="G16" s="321"/>
      <c r="H16" s="321">
        <v>2575</v>
      </c>
      <c r="I16" s="322">
        <v>2704</v>
      </c>
      <c r="J16" s="322">
        <f t="shared" si="0"/>
        <v>2704</v>
      </c>
      <c r="K16" s="322">
        <f t="shared" si="1"/>
        <v>2704</v>
      </c>
      <c r="L16" s="322">
        <f t="shared" si="2"/>
        <v>2704</v>
      </c>
      <c r="M16" s="322">
        <f t="shared" si="3"/>
        <v>2974.4</v>
      </c>
      <c r="N16" s="322">
        <f t="shared" si="4"/>
        <v>2974.4</v>
      </c>
      <c r="O16" s="322">
        <f t="shared" si="5"/>
        <v>2974.4</v>
      </c>
      <c r="P16" s="322">
        <f t="shared" si="6"/>
        <v>2974.4</v>
      </c>
      <c r="Q16" s="1253">
        <f t="shared" si="7"/>
        <v>2974.4</v>
      </c>
      <c r="R16" s="194"/>
    </row>
    <row r="17" spans="1:18" ht="19.5">
      <c r="A17" s="1110">
        <v>15</v>
      </c>
      <c r="B17" s="326" t="s">
        <v>746</v>
      </c>
      <c r="C17" s="619" t="s">
        <v>733</v>
      </c>
      <c r="D17" s="323"/>
      <c r="E17" s="321"/>
      <c r="F17" s="321"/>
      <c r="G17" s="321"/>
      <c r="H17" s="321">
        <v>178</v>
      </c>
      <c r="I17" s="322">
        <v>187</v>
      </c>
      <c r="J17" s="322">
        <f t="shared" si="0"/>
        <v>187</v>
      </c>
      <c r="K17" s="322">
        <f t="shared" si="1"/>
        <v>187</v>
      </c>
      <c r="L17" s="322">
        <f t="shared" si="2"/>
        <v>187</v>
      </c>
      <c r="M17" s="322">
        <f t="shared" si="3"/>
        <v>205.70000000000002</v>
      </c>
      <c r="N17" s="322">
        <f t="shared" si="4"/>
        <v>205.70000000000002</v>
      </c>
      <c r="O17" s="322">
        <f t="shared" si="5"/>
        <v>205.70000000000002</v>
      </c>
      <c r="P17" s="322">
        <f t="shared" si="6"/>
        <v>205.70000000000002</v>
      </c>
      <c r="Q17" s="1253">
        <f t="shared" si="7"/>
        <v>205.70000000000002</v>
      </c>
      <c r="R17" s="194"/>
    </row>
    <row r="18" spans="1:18" ht="19.5">
      <c r="A18" s="1110">
        <v>16</v>
      </c>
      <c r="B18" s="326" t="s">
        <v>747</v>
      </c>
      <c r="C18" s="619" t="s">
        <v>733</v>
      </c>
      <c r="D18" s="323"/>
      <c r="E18" s="321"/>
      <c r="F18" s="321"/>
      <c r="G18" s="321"/>
      <c r="H18" s="321">
        <v>125</v>
      </c>
      <c r="I18" s="322">
        <v>131</v>
      </c>
      <c r="J18" s="322">
        <f t="shared" si="0"/>
        <v>131</v>
      </c>
      <c r="K18" s="322">
        <f t="shared" si="1"/>
        <v>131</v>
      </c>
      <c r="L18" s="322">
        <f t="shared" si="2"/>
        <v>131</v>
      </c>
      <c r="M18" s="322">
        <f t="shared" si="3"/>
        <v>144.10000000000002</v>
      </c>
      <c r="N18" s="322">
        <f t="shared" si="4"/>
        <v>144.10000000000002</v>
      </c>
      <c r="O18" s="322">
        <f t="shared" si="5"/>
        <v>144.10000000000002</v>
      </c>
      <c r="P18" s="322">
        <f t="shared" si="6"/>
        <v>144.10000000000002</v>
      </c>
      <c r="Q18" s="1253">
        <f t="shared" si="7"/>
        <v>144.10000000000002</v>
      </c>
      <c r="R18" s="194"/>
    </row>
    <row r="19" spans="1:18" ht="19.5">
      <c r="A19" s="1110">
        <v>17</v>
      </c>
      <c r="B19" s="326" t="s">
        <v>748</v>
      </c>
      <c r="C19" s="619" t="s">
        <v>733</v>
      </c>
      <c r="D19" s="323"/>
      <c r="E19" s="321"/>
      <c r="F19" s="321"/>
      <c r="G19" s="321"/>
      <c r="H19" s="321">
        <v>175</v>
      </c>
      <c r="I19" s="322">
        <v>184</v>
      </c>
      <c r="J19" s="322">
        <f t="shared" si="0"/>
        <v>184</v>
      </c>
      <c r="K19" s="322">
        <f t="shared" si="1"/>
        <v>184</v>
      </c>
      <c r="L19" s="322">
        <f t="shared" si="2"/>
        <v>184</v>
      </c>
      <c r="M19" s="322">
        <f t="shared" si="3"/>
        <v>202.4</v>
      </c>
      <c r="N19" s="322">
        <f t="shared" si="4"/>
        <v>202.4</v>
      </c>
      <c r="O19" s="322">
        <f t="shared" si="5"/>
        <v>202.4</v>
      </c>
      <c r="P19" s="322">
        <f t="shared" si="6"/>
        <v>202.4</v>
      </c>
      <c r="Q19" s="1253">
        <f t="shared" si="7"/>
        <v>202.4</v>
      </c>
      <c r="R19" s="194"/>
    </row>
    <row r="20" spans="1:18" ht="19.5">
      <c r="A20" s="1110">
        <v>18</v>
      </c>
      <c r="B20" s="326" t="s">
        <v>749</v>
      </c>
      <c r="C20" s="619" t="s">
        <v>750</v>
      </c>
      <c r="D20" s="323"/>
      <c r="E20" s="321"/>
      <c r="F20" s="321"/>
      <c r="G20" s="321"/>
      <c r="H20" s="321">
        <v>75</v>
      </c>
      <c r="I20" s="322">
        <v>79</v>
      </c>
      <c r="J20" s="322">
        <f t="shared" si="0"/>
        <v>79</v>
      </c>
      <c r="K20" s="322">
        <f t="shared" si="1"/>
        <v>79</v>
      </c>
      <c r="L20" s="322">
        <f t="shared" si="2"/>
        <v>79</v>
      </c>
      <c r="M20" s="322">
        <f t="shared" si="3"/>
        <v>86.9</v>
      </c>
      <c r="N20" s="322">
        <f t="shared" si="4"/>
        <v>86.9</v>
      </c>
      <c r="O20" s="322">
        <f t="shared" si="5"/>
        <v>86.9</v>
      </c>
      <c r="P20" s="322">
        <f t="shared" si="6"/>
        <v>86.9</v>
      </c>
      <c r="Q20" s="1253">
        <f t="shared" si="7"/>
        <v>86.9</v>
      </c>
      <c r="R20" s="194"/>
    </row>
    <row r="21" spans="1:18" ht="19.5">
      <c r="A21" s="1110">
        <v>19</v>
      </c>
      <c r="B21" s="326" t="s">
        <v>751</v>
      </c>
      <c r="C21" s="619" t="s">
        <v>752</v>
      </c>
      <c r="D21" s="323"/>
      <c r="E21" s="321"/>
      <c r="F21" s="321"/>
      <c r="G21" s="321"/>
      <c r="H21" s="321">
        <v>16</v>
      </c>
      <c r="I21" s="322">
        <v>17</v>
      </c>
      <c r="J21" s="322">
        <f t="shared" si="0"/>
        <v>17</v>
      </c>
      <c r="K21" s="322">
        <f t="shared" si="1"/>
        <v>17</v>
      </c>
      <c r="L21" s="322">
        <f t="shared" si="2"/>
        <v>17</v>
      </c>
      <c r="M21" s="322">
        <f t="shared" si="3"/>
        <v>18.700000000000003</v>
      </c>
      <c r="N21" s="322">
        <f t="shared" si="4"/>
        <v>18.700000000000003</v>
      </c>
      <c r="O21" s="322">
        <f t="shared" si="5"/>
        <v>18.700000000000003</v>
      </c>
      <c r="P21" s="322">
        <f t="shared" si="6"/>
        <v>18.700000000000003</v>
      </c>
      <c r="Q21" s="1253">
        <f t="shared" si="7"/>
        <v>18.700000000000003</v>
      </c>
      <c r="R21" s="194"/>
    </row>
    <row r="22" spans="1:18" ht="19.5">
      <c r="A22" s="1110">
        <v>20</v>
      </c>
      <c r="B22" s="326" t="s">
        <v>753</v>
      </c>
      <c r="C22" s="619" t="s">
        <v>733</v>
      </c>
      <c r="D22" s="323"/>
      <c r="E22" s="321"/>
      <c r="F22" s="321"/>
      <c r="G22" s="321"/>
      <c r="H22" s="321">
        <v>465</v>
      </c>
      <c r="I22" s="322">
        <v>488</v>
      </c>
      <c r="J22" s="322">
        <f t="shared" si="0"/>
        <v>488</v>
      </c>
      <c r="K22" s="322">
        <f t="shared" si="1"/>
        <v>488</v>
      </c>
      <c r="L22" s="322">
        <f t="shared" si="2"/>
        <v>488</v>
      </c>
      <c r="M22" s="322">
        <f t="shared" si="3"/>
        <v>536.80000000000007</v>
      </c>
      <c r="N22" s="322">
        <f t="shared" si="4"/>
        <v>536.80000000000007</v>
      </c>
      <c r="O22" s="322">
        <f t="shared" si="5"/>
        <v>536.80000000000007</v>
      </c>
      <c r="P22" s="322">
        <f t="shared" si="6"/>
        <v>536.80000000000007</v>
      </c>
      <c r="Q22" s="1253">
        <f t="shared" si="7"/>
        <v>536.80000000000007</v>
      </c>
      <c r="R22" s="194"/>
    </row>
    <row r="23" spans="1:18" ht="19.5">
      <c r="A23" s="1110">
        <v>21</v>
      </c>
      <c r="B23" s="326" t="s">
        <v>754</v>
      </c>
      <c r="C23" s="619" t="s">
        <v>733</v>
      </c>
      <c r="D23" s="323"/>
      <c r="E23" s="321"/>
      <c r="F23" s="321"/>
      <c r="G23" s="321"/>
      <c r="H23" s="321">
        <v>9000</v>
      </c>
      <c r="I23" s="322">
        <v>9450</v>
      </c>
      <c r="J23" s="322">
        <f t="shared" si="0"/>
        <v>9450</v>
      </c>
      <c r="K23" s="322">
        <f t="shared" si="1"/>
        <v>9450</v>
      </c>
      <c r="L23" s="322">
        <f t="shared" si="2"/>
        <v>9450</v>
      </c>
      <c r="M23" s="322">
        <f t="shared" si="3"/>
        <v>10395</v>
      </c>
      <c r="N23" s="322">
        <f t="shared" si="4"/>
        <v>10395</v>
      </c>
      <c r="O23" s="322">
        <f t="shared" si="5"/>
        <v>10395</v>
      </c>
      <c r="P23" s="322">
        <f t="shared" si="6"/>
        <v>10395</v>
      </c>
      <c r="Q23" s="1253">
        <f t="shared" si="7"/>
        <v>10395</v>
      </c>
      <c r="R23" s="194"/>
    </row>
    <row r="24" spans="1:18" ht="19.5">
      <c r="A24" s="1110">
        <v>22</v>
      </c>
      <c r="B24" s="326" t="s">
        <v>755</v>
      </c>
      <c r="C24" s="619" t="s">
        <v>733</v>
      </c>
      <c r="D24" s="323"/>
      <c r="E24" s="321"/>
      <c r="F24" s="321"/>
      <c r="G24" s="321"/>
      <c r="H24" s="321">
        <v>1125</v>
      </c>
      <c r="I24" s="322">
        <v>1181</v>
      </c>
      <c r="J24" s="322">
        <f t="shared" si="0"/>
        <v>1181</v>
      </c>
      <c r="K24" s="322">
        <f t="shared" si="1"/>
        <v>1181</v>
      </c>
      <c r="L24" s="322">
        <f t="shared" si="2"/>
        <v>1181</v>
      </c>
      <c r="M24" s="322">
        <f t="shared" si="3"/>
        <v>1299.1000000000001</v>
      </c>
      <c r="N24" s="322">
        <f t="shared" si="4"/>
        <v>1299.1000000000001</v>
      </c>
      <c r="O24" s="322">
        <f t="shared" si="5"/>
        <v>1299.1000000000001</v>
      </c>
      <c r="P24" s="322">
        <f t="shared" si="6"/>
        <v>1299.1000000000001</v>
      </c>
      <c r="Q24" s="1253">
        <f t="shared" si="7"/>
        <v>1299.1000000000001</v>
      </c>
      <c r="R24" s="194"/>
    </row>
    <row r="25" spans="1:18" ht="19.5">
      <c r="A25" s="1110">
        <v>23</v>
      </c>
      <c r="B25" s="326" t="s">
        <v>756</v>
      </c>
      <c r="C25" s="619" t="s">
        <v>733</v>
      </c>
      <c r="D25" s="323"/>
      <c r="E25" s="321"/>
      <c r="F25" s="321"/>
      <c r="G25" s="321"/>
      <c r="H25" s="321">
        <v>375</v>
      </c>
      <c r="I25" s="322">
        <v>394</v>
      </c>
      <c r="J25" s="322">
        <f t="shared" si="0"/>
        <v>394</v>
      </c>
      <c r="K25" s="322">
        <f t="shared" si="1"/>
        <v>394</v>
      </c>
      <c r="L25" s="322">
        <f t="shared" si="2"/>
        <v>394</v>
      </c>
      <c r="M25" s="322">
        <f t="shared" si="3"/>
        <v>433.40000000000003</v>
      </c>
      <c r="N25" s="322">
        <f t="shared" si="4"/>
        <v>433.40000000000003</v>
      </c>
      <c r="O25" s="322">
        <f t="shared" si="5"/>
        <v>433.40000000000003</v>
      </c>
      <c r="P25" s="322">
        <f t="shared" si="6"/>
        <v>433.40000000000003</v>
      </c>
      <c r="Q25" s="1253">
        <f t="shared" si="7"/>
        <v>433.40000000000003</v>
      </c>
      <c r="R25" s="194"/>
    </row>
    <row r="26" spans="1:18" ht="19.5">
      <c r="A26" s="1110">
        <v>24</v>
      </c>
      <c r="B26" s="326" t="s">
        <v>2603</v>
      </c>
      <c r="C26" s="619" t="s">
        <v>733</v>
      </c>
      <c r="D26" s="323"/>
      <c r="E26" s="321"/>
      <c r="F26" s="321"/>
      <c r="G26" s="321"/>
      <c r="H26" s="321">
        <v>265</v>
      </c>
      <c r="I26" s="322">
        <v>278</v>
      </c>
      <c r="J26" s="322">
        <f t="shared" si="0"/>
        <v>278</v>
      </c>
      <c r="K26" s="322">
        <f t="shared" si="1"/>
        <v>278</v>
      </c>
      <c r="L26" s="322">
        <f t="shared" si="2"/>
        <v>278</v>
      </c>
      <c r="M26" s="322">
        <f t="shared" si="3"/>
        <v>305.8</v>
      </c>
      <c r="N26" s="322">
        <f t="shared" si="4"/>
        <v>305.8</v>
      </c>
      <c r="O26" s="322">
        <f t="shared" si="5"/>
        <v>305.8</v>
      </c>
      <c r="P26" s="322">
        <f t="shared" si="6"/>
        <v>305.8</v>
      </c>
      <c r="Q26" s="1253">
        <f t="shared" si="7"/>
        <v>305.8</v>
      </c>
      <c r="R26" s="194"/>
    </row>
    <row r="27" spans="1:18" ht="19.5">
      <c r="A27" s="1110">
        <v>25</v>
      </c>
      <c r="B27" s="326" t="s">
        <v>757</v>
      </c>
      <c r="C27" s="619" t="s">
        <v>733</v>
      </c>
      <c r="D27" s="323"/>
      <c r="E27" s="321"/>
      <c r="F27" s="321"/>
      <c r="G27" s="321"/>
      <c r="H27" s="321">
        <v>275</v>
      </c>
      <c r="I27" s="322">
        <v>289</v>
      </c>
      <c r="J27" s="322">
        <f t="shared" si="0"/>
        <v>289</v>
      </c>
      <c r="K27" s="322">
        <f t="shared" si="1"/>
        <v>289</v>
      </c>
      <c r="L27" s="322">
        <f t="shared" si="2"/>
        <v>289</v>
      </c>
      <c r="M27" s="322">
        <f t="shared" si="3"/>
        <v>317.90000000000003</v>
      </c>
      <c r="N27" s="322">
        <f t="shared" si="4"/>
        <v>317.90000000000003</v>
      </c>
      <c r="O27" s="322">
        <f t="shared" si="5"/>
        <v>317.90000000000003</v>
      </c>
      <c r="P27" s="322">
        <f t="shared" si="6"/>
        <v>317.90000000000003</v>
      </c>
      <c r="Q27" s="1253">
        <f t="shared" si="7"/>
        <v>317.90000000000003</v>
      </c>
      <c r="R27" s="194"/>
    </row>
    <row r="28" spans="1:18" ht="19.5">
      <c r="A28" s="1110">
        <v>26</v>
      </c>
      <c r="B28" s="326" t="s">
        <v>758</v>
      </c>
      <c r="C28" s="619" t="s">
        <v>733</v>
      </c>
      <c r="D28" s="323"/>
      <c r="E28" s="321"/>
      <c r="F28" s="321"/>
      <c r="G28" s="321"/>
      <c r="H28" s="321">
        <v>10</v>
      </c>
      <c r="I28" s="322">
        <v>11</v>
      </c>
      <c r="J28" s="322">
        <f t="shared" si="0"/>
        <v>11</v>
      </c>
      <c r="K28" s="322">
        <f t="shared" si="1"/>
        <v>11</v>
      </c>
      <c r="L28" s="322">
        <f t="shared" si="2"/>
        <v>11</v>
      </c>
      <c r="M28" s="322">
        <f t="shared" si="3"/>
        <v>12.100000000000001</v>
      </c>
      <c r="N28" s="322">
        <f t="shared" si="4"/>
        <v>12.100000000000001</v>
      </c>
      <c r="O28" s="322">
        <f t="shared" si="5"/>
        <v>12.100000000000001</v>
      </c>
      <c r="P28" s="322">
        <f t="shared" si="6"/>
        <v>12.100000000000001</v>
      </c>
      <c r="Q28" s="1253">
        <f t="shared" si="7"/>
        <v>12.100000000000001</v>
      </c>
      <c r="R28" s="194"/>
    </row>
    <row r="29" spans="1:18" ht="19.5">
      <c r="A29" s="1110">
        <v>27</v>
      </c>
      <c r="B29" s="326" t="s">
        <v>759</v>
      </c>
      <c r="C29" s="619" t="s">
        <v>733</v>
      </c>
      <c r="D29" s="323"/>
      <c r="E29" s="321"/>
      <c r="F29" s="321"/>
      <c r="G29" s="321"/>
      <c r="H29" s="321">
        <v>18</v>
      </c>
      <c r="I29" s="322">
        <v>19</v>
      </c>
      <c r="J29" s="322">
        <f t="shared" si="0"/>
        <v>19</v>
      </c>
      <c r="K29" s="322">
        <f t="shared" si="1"/>
        <v>19</v>
      </c>
      <c r="L29" s="322">
        <f t="shared" si="2"/>
        <v>19</v>
      </c>
      <c r="M29" s="322">
        <f t="shared" si="3"/>
        <v>20.900000000000002</v>
      </c>
      <c r="N29" s="322">
        <f t="shared" si="4"/>
        <v>20.900000000000002</v>
      </c>
      <c r="O29" s="322">
        <f t="shared" si="5"/>
        <v>20.900000000000002</v>
      </c>
      <c r="P29" s="322">
        <f t="shared" si="6"/>
        <v>20.900000000000002</v>
      </c>
      <c r="Q29" s="1253">
        <f t="shared" si="7"/>
        <v>20.900000000000002</v>
      </c>
      <c r="R29" s="194"/>
    </row>
    <row r="30" spans="1:18" ht="19.5">
      <c r="A30" s="1110">
        <v>28</v>
      </c>
      <c r="B30" s="326" t="s">
        <v>760</v>
      </c>
      <c r="C30" s="619" t="s">
        <v>733</v>
      </c>
      <c r="D30" s="323"/>
      <c r="E30" s="321"/>
      <c r="F30" s="321"/>
      <c r="G30" s="321"/>
      <c r="H30" s="321">
        <v>185</v>
      </c>
      <c r="I30" s="322">
        <v>194</v>
      </c>
      <c r="J30" s="322">
        <f t="shared" si="0"/>
        <v>194</v>
      </c>
      <c r="K30" s="322">
        <f t="shared" si="1"/>
        <v>194</v>
      </c>
      <c r="L30" s="322">
        <f t="shared" si="2"/>
        <v>194</v>
      </c>
      <c r="M30" s="322">
        <f t="shared" si="3"/>
        <v>213.4</v>
      </c>
      <c r="N30" s="322">
        <f t="shared" si="4"/>
        <v>213.4</v>
      </c>
      <c r="O30" s="322">
        <f t="shared" si="5"/>
        <v>213.4</v>
      </c>
      <c r="P30" s="322">
        <f t="shared" si="6"/>
        <v>213.4</v>
      </c>
      <c r="Q30" s="1253">
        <f t="shared" si="7"/>
        <v>213.4</v>
      </c>
      <c r="R30" s="194"/>
    </row>
    <row r="31" spans="1:18" ht="19.5">
      <c r="A31" s="1110">
        <v>29</v>
      </c>
      <c r="B31" s="326" t="s">
        <v>761</v>
      </c>
      <c r="C31" s="619" t="s">
        <v>733</v>
      </c>
      <c r="D31" s="323"/>
      <c r="E31" s="321"/>
      <c r="F31" s="321"/>
      <c r="G31" s="321"/>
      <c r="H31" s="321">
        <v>465</v>
      </c>
      <c r="I31" s="322">
        <v>488</v>
      </c>
      <c r="J31" s="322">
        <f t="shared" si="0"/>
        <v>488</v>
      </c>
      <c r="K31" s="322">
        <f t="shared" si="1"/>
        <v>488</v>
      </c>
      <c r="L31" s="322">
        <f t="shared" si="2"/>
        <v>488</v>
      </c>
      <c r="M31" s="322">
        <f t="shared" si="3"/>
        <v>536.80000000000007</v>
      </c>
      <c r="N31" s="322">
        <f t="shared" si="4"/>
        <v>536.80000000000007</v>
      </c>
      <c r="O31" s="322">
        <f t="shared" si="5"/>
        <v>536.80000000000007</v>
      </c>
      <c r="P31" s="322">
        <f t="shared" si="6"/>
        <v>536.80000000000007</v>
      </c>
      <c r="Q31" s="1253">
        <f t="shared" si="7"/>
        <v>536.80000000000007</v>
      </c>
      <c r="R31" s="194"/>
    </row>
    <row r="32" spans="1:18" ht="19.5">
      <c r="A32" s="1110">
        <v>30</v>
      </c>
      <c r="B32" s="326" t="s">
        <v>762</v>
      </c>
      <c r="C32" s="619" t="s">
        <v>733</v>
      </c>
      <c r="D32" s="323"/>
      <c r="E32" s="321"/>
      <c r="F32" s="321"/>
      <c r="G32" s="321"/>
      <c r="H32" s="321">
        <v>555</v>
      </c>
      <c r="I32" s="322">
        <v>583</v>
      </c>
      <c r="J32" s="322">
        <f t="shared" si="0"/>
        <v>583</v>
      </c>
      <c r="K32" s="322">
        <f t="shared" si="1"/>
        <v>583</v>
      </c>
      <c r="L32" s="322">
        <f t="shared" si="2"/>
        <v>583</v>
      </c>
      <c r="M32" s="322">
        <f t="shared" si="3"/>
        <v>641.30000000000007</v>
      </c>
      <c r="N32" s="322">
        <f t="shared" si="4"/>
        <v>641.30000000000007</v>
      </c>
      <c r="O32" s="322">
        <f t="shared" si="5"/>
        <v>641.30000000000007</v>
      </c>
      <c r="P32" s="322">
        <f t="shared" si="6"/>
        <v>641.30000000000007</v>
      </c>
      <c r="Q32" s="1253">
        <f t="shared" si="7"/>
        <v>641.30000000000007</v>
      </c>
      <c r="R32" s="194"/>
    </row>
    <row r="33" spans="1:18" ht="19.5">
      <c r="A33" s="1110">
        <v>31</v>
      </c>
      <c r="B33" s="326" t="s">
        <v>763</v>
      </c>
      <c r="C33" s="619" t="s">
        <v>733</v>
      </c>
      <c r="D33" s="323"/>
      <c r="E33" s="321"/>
      <c r="F33" s="321"/>
      <c r="G33" s="321"/>
      <c r="H33" s="321">
        <v>185</v>
      </c>
      <c r="I33" s="322">
        <v>194</v>
      </c>
      <c r="J33" s="322">
        <f t="shared" si="0"/>
        <v>194</v>
      </c>
      <c r="K33" s="322">
        <f t="shared" si="1"/>
        <v>194</v>
      </c>
      <c r="L33" s="322">
        <f t="shared" si="2"/>
        <v>194</v>
      </c>
      <c r="M33" s="322">
        <f t="shared" si="3"/>
        <v>213.4</v>
      </c>
      <c r="N33" s="322">
        <f t="shared" si="4"/>
        <v>213.4</v>
      </c>
      <c r="O33" s="322">
        <f t="shared" si="5"/>
        <v>213.4</v>
      </c>
      <c r="P33" s="322">
        <f t="shared" si="6"/>
        <v>213.4</v>
      </c>
      <c r="Q33" s="1253">
        <f t="shared" si="7"/>
        <v>213.4</v>
      </c>
      <c r="R33" s="194"/>
    </row>
    <row r="34" spans="1:18" ht="19.5">
      <c r="A34" s="1110">
        <v>32</v>
      </c>
      <c r="B34" s="326" t="s">
        <v>764</v>
      </c>
      <c r="C34" s="619" t="s">
        <v>733</v>
      </c>
      <c r="D34" s="323"/>
      <c r="E34" s="321"/>
      <c r="F34" s="321"/>
      <c r="G34" s="321"/>
      <c r="H34" s="321">
        <v>6945</v>
      </c>
      <c r="I34" s="322">
        <v>7292</v>
      </c>
      <c r="J34" s="322">
        <f t="shared" si="0"/>
        <v>7292</v>
      </c>
      <c r="K34" s="322">
        <f t="shared" si="1"/>
        <v>7292</v>
      </c>
      <c r="L34" s="322">
        <f t="shared" si="2"/>
        <v>7292</v>
      </c>
      <c r="M34" s="322">
        <f t="shared" si="3"/>
        <v>8021.2000000000007</v>
      </c>
      <c r="N34" s="322">
        <f t="shared" si="4"/>
        <v>8021.2000000000007</v>
      </c>
      <c r="O34" s="322">
        <f t="shared" si="5"/>
        <v>8021.2000000000007</v>
      </c>
      <c r="P34" s="322">
        <f t="shared" si="6"/>
        <v>8021.2000000000007</v>
      </c>
      <c r="Q34" s="1253">
        <f t="shared" si="7"/>
        <v>8021.2000000000007</v>
      </c>
      <c r="R34" s="194"/>
    </row>
    <row r="35" spans="1:18" ht="19.5">
      <c r="A35" s="1110">
        <v>33</v>
      </c>
      <c r="B35" s="326" t="s">
        <v>765</v>
      </c>
      <c r="C35" s="619" t="s">
        <v>766</v>
      </c>
      <c r="D35" s="323"/>
      <c r="E35" s="321"/>
      <c r="F35" s="321"/>
      <c r="G35" s="321"/>
      <c r="H35" s="321">
        <v>1915</v>
      </c>
      <c r="I35" s="322">
        <v>2011</v>
      </c>
      <c r="J35" s="322">
        <f t="shared" si="0"/>
        <v>2011</v>
      </c>
      <c r="K35" s="322">
        <f t="shared" si="1"/>
        <v>2011</v>
      </c>
      <c r="L35" s="322">
        <f t="shared" si="2"/>
        <v>2011</v>
      </c>
      <c r="M35" s="322">
        <f t="shared" si="3"/>
        <v>2212.1000000000004</v>
      </c>
      <c r="N35" s="322">
        <f t="shared" si="4"/>
        <v>2212.1000000000004</v>
      </c>
      <c r="O35" s="322">
        <f t="shared" si="5"/>
        <v>2212.1000000000004</v>
      </c>
      <c r="P35" s="322">
        <f t="shared" si="6"/>
        <v>2212.1000000000004</v>
      </c>
      <c r="Q35" s="1253">
        <f t="shared" si="7"/>
        <v>2212.1000000000004</v>
      </c>
      <c r="R35" s="194"/>
    </row>
    <row r="36" spans="1:18" ht="19.5">
      <c r="A36" s="1110">
        <v>34</v>
      </c>
      <c r="B36" s="326" t="s">
        <v>767</v>
      </c>
      <c r="C36" s="619" t="s">
        <v>766</v>
      </c>
      <c r="D36" s="323"/>
      <c r="E36" s="321"/>
      <c r="F36" s="321"/>
      <c r="G36" s="321"/>
      <c r="H36" s="321">
        <v>4600</v>
      </c>
      <c r="I36" s="322">
        <v>4830</v>
      </c>
      <c r="J36" s="322">
        <f t="shared" si="0"/>
        <v>4830</v>
      </c>
      <c r="K36" s="322">
        <f t="shared" si="1"/>
        <v>4830</v>
      </c>
      <c r="L36" s="322">
        <f t="shared" si="2"/>
        <v>4830</v>
      </c>
      <c r="M36" s="322">
        <f t="shared" si="3"/>
        <v>5313</v>
      </c>
      <c r="N36" s="322">
        <f t="shared" si="4"/>
        <v>5313</v>
      </c>
      <c r="O36" s="322">
        <f t="shared" si="5"/>
        <v>5313</v>
      </c>
      <c r="P36" s="322">
        <f t="shared" si="6"/>
        <v>5313</v>
      </c>
      <c r="Q36" s="1253">
        <f t="shared" si="7"/>
        <v>5313</v>
      </c>
      <c r="R36" s="194"/>
    </row>
    <row r="37" spans="1:18" ht="19.5">
      <c r="A37" s="1110">
        <v>35</v>
      </c>
      <c r="B37" s="326" t="s">
        <v>768</v>
      </c>
      <c r="C37" s="619" t="s">
        <v>766</v>
      </c>
      <c r="D37" s="323"/>
      <c r="E37" s="321"/>
      <c r="F37" s="321"/>
      <c r="G37" s="321"/>
      <c r="H37" s="321">
        <v>12625</v>
      </c>
      <c r="I37" s="322">
        <v>13256</v>
      </c>
      <c r="J37" s="322">
        <f t="shared" si="0"/>
        <v>13256</v>
      </c>
      <c r="K37" s="322">
        <f t="shared" si="1"/>
        <v>13256</v>
      </c>
      <c r="L37" s="322">
        <f t="shared" si="2"/>
        <v>13256</v>
      </c>
      <c r="M37" s="322">
        <f t="shared" si="3"/>
        <v>14581.6</v>
      </c>
      <c r="N37" s="322">
        <f t="shared" si="4"/>
        <v>14581.6</v>
      </c>
      <c r="O37" s="322">
        <f t="shared" si="5"/>
        <v>14581.6</v>
      </c>
      <c r="P37" s="322">
        <f t="shared" si="6"/>
        <v>14581.6</v>
      </c>
      <c r="Q37" s="1253">
        <f t="shared" si="7"/>
        <v>14581.6</v>
      </c>
      <c r="R37" s="194"/>
    </row>
    <row r="38" spans="1:18" ht="19.5">
      <c r="A38" s="1110">
        <v>36</v>
      </c>
      <c r="B38" s="326" t="s">
        <v>769</v>
      </c>
      <c r="C38" s="619" t="s">
        <v>766</v>
      </c>
      <c r="D38" s="323"/>
      <c r="E38" s="321"/>
      <c r="F38" s="321"/>
      <c r="G38" s="321"/>
      <c r="H38" s="321">
        <v>23500</v>
      </c>
      <c r="I38" s="322">
        <v>24675</v>
      </c>
      <c r="J38" s="322">
        <f t="shared" si="0"/>
        <v>24675</v>
      </c>
      <c r="K38" s="322">
        <f t="shared" si="1"/>
        <v>24675</v>
      </c>
      <c r="L38" s="322">
        <f t="shared" si="2"/>
        <v>24675</v>
      </c>
      <c r="M38" s="322">
        <f t="shared" si="3"/>
        <v>27142.500000000004</v>
      </c>
      <c r="N38" s="322">
        <f t="shared" si="4"/>
        <v>27142.500000000004</v>
      </c>
      <c r="O38" s="322">
        <f t="shared" si="5"/>
        <v>27142.500000000004</v>
      </c>
      <c r="P38" s="322">
        <f t="shared" si="6"/>
        <v>27142.500000000004</v>
      </c>
      <c r="Q38" s="1253">
        <f t="shared" si="7"/>
        <v>27142.500000000004</v>
      </c>
      <c r="R38" s="194"/>
    </row>
    <row r="39" spans="1:18" ht="19.5">
      <c r="A39" s="1110">
        <v>37</v>
      </c>
      <c r="B39" s="326" t="s">
        <v>770</v>
      </c>
      <c r="C39" s="619" t="s">
        <v>766</v>
      </c>
      <c r="D39" s="323"/>
      <c r="E39" s="321"/>
      <c r="F39" s="321"/>
      <c r="G39" s="321"/>
      <c r="H39" s="321">
        <v>675</v>
      </c>
      <c r="I39" s="322">
        <v>709</v>
      </c>
      <c r="J39" s="322">
        <f t="shared" si="0"/>
        <v>709</v>
      </c>
      <c r="K39" s="322">
        <f t="shared" si="1"/>
        <v>709</v>
      </c>
      <c r="L39" s="322">
        <f t="shared" si="2"/>
        <v>709</v>
      </c>
      <c r="M39" s="322">
        <f t="shared" si="3"/>
        <v>779.90000000000009</v>
      </c>
      <c r="N39" s="322">
        <f t="shared" si="4"/>
        <v>779.90000000000009</v>
      </c>
      <c r="O39" s="322">
        <f t="shared" si="5"/>
        <v>779.90000000000009</v>
      </c>
      <c r="P39" s="322">
        <f t="shared" si="6"/>
        <v>779.90000000000009</v>
      </c>
      <c r="Q39" s="1253">
        <f t="shared" si="7"/>
        <v>779.90000000000009</v>
      </c>
      <c r="R39" s="194"/>
    </row>
    <row r="40" spans="1:18" ht="19.5">
      <c r="A40" s="1110">
        <v>38</v>
      </c>
      <c r="B40" s="326" t="s">
        <v>771</v>
      </c>
      <c r="C40" s="619" t="s">
        <v>766</v>
      </c>
      <c r="D40" s="323"/>
      <c r="E40" s="321"/>
      <c r="F40" s="321"/>
      <c r="G40" s="321"/>
      <c r="H40" s="321">
        <v>665</v>
      </c>
      <c r="I40" s="322">
        <v>698</v>
      </c>
      <c r="J40" s="322">
        <f t="shared" si="0"/>
        <v>698</v>
      </c>
      <c r="K40" s="322">
        <f t="shared" si="1"/>
        <v>698</v>
      </c>
      <c r="L40" s="322">
        <f t="shared" si="2"/>
        <v>698</v>
      </c>
      <c r="M40" s="322">
        <f t="shared" si="3"/>
        <v>767.80000000000007</v>
      </c>
      <c r="N40" s="322">
        <f t="shared" si="4"/>
        <v>767.80000000000007</v>
      </c>
      <c r="O40" s="322">
        <f t="shared" si="5"/>
        <v>767.80000000000007</v>
      </c>
      <c r="P40" s="322">
        <f t="shared" si="6"/>
        <v>767.80000000000007</v>
      </c>
      <c r="Q40" s="1253">
        <f t="shared" si="7"/>
        <v>767.80000000000007</v>
      </c>
      <c r="R40" s="194"/>
    </row>
    <row r="41" spans="1:18" ht="19.5">
      <c r="A41" s="1110">
        <v>39</v>
      </c>
      <c r="B41" s="326" t="s">
        <v>772</v>
      </c>
      <c r="C41" s="619" t="s">
        <v>766</v>
      </c>
      <c r="D41" s="323"/>
      <c r="E41" s="321"/>
      <c r="F41" s="321"/>
      <c r="G41" s="321"/>
      <c r="H41" s="321">
        <v>665</v>
      </c>
      <c r="I41" s="322">
        <v>698</v>
      </c>
      <c r="J41" s="322">
        <f t="shared" si="0"/>
        <v>698</v>
      </c>
      <c r="K41" s="322">
        <f t="shared" si="1"/>
        <v>698</v>
      </c>
      <c r="L41" s="322">
        <f t="shared" si="2"/>
        <v>698</v>
      </c>
      <c r="M41" s="322">
        <f t="shared" si="3"/>
        <v>767.80000000000007</v>
      </c>
      <c r="N41" s="322">
        <f t="shared" si="4"/>
        <v>767.80000000000007</v>
      </c>
      <c r="O41" s="322">
        <f t="shared" si="5"/>
        <v>767.80000000000007</v>
      </c>
      <c r="P41" s="322">
        <f t="shared" si="6"/>
        <v>767.80000000000007</v>
      </c>
      <c r="Q41" s="1253">
        <f t="shared" si="7"/>
        <v>767.80000000000007</v>
      </c>
      <c r="R41" s="194"/>
    </row>
    <row r="42" spans="1:18" ht="19.5">
      <c r="A42" s="1110">
        <v>40</v>
      </c>
      <c r="B42" s="326" t="s">
        <v>773</v>
      </c>
      <c r="C42" s="619" t="s">
        <v>766</v>
      </c>
      <c r="D42" s="323"/>
      <c r="E42" s="321"/>
      <c r="F42" s="321"/>
      <c r="G42" s="321"/>
      <c r="H42" s="321">
        <v>845</v>
      </c>
      <c r="I42" s="322">
        <v>887</v>
      </c>
      <c r="J42" s="322">
        <f t="shared" si="0"/>
        <v>887</v>
      </c>
      <c r="K42" s="322">
        <f t="shared" si="1"/>
        <v>887</v>
      </c>
      <c r="L42" s="322">
        <f t="shared" si="2"/>
        <v>887</v>
      </c>
      <c r="M42" s="322">
        <f t="shared" si="3"/>
        <v>975.7</v>
      </c>
      <c r="N42" s="322">
        <f t="shared" si="4"/>
        <v>975.7</v>
      </c>
      <c r="O42" s="322">
        <f t="shared" si="5"/>
        <v>975.7</v>
      </c>
      <c r="P42" s="322">
        <f t="shared" si="6"/>
        <v>975.7</v>
      </c>
      <c r="Q42" s="1253">
        <f t="shared" si="7"/>
        <v>975.7</v>
      </c>
      <c r="R42" s="194"/>
    </row>
    <row r="43" spans="1:18" ht="19.5">
      <c r="A43" s="1110">
        <v>41</v>
      </c>
      <c r="B43" s="326" t="s">
        <v>774</v>
      </c>
      <c r="C43" s="618" t="s">
        <v>766</v>
      </c>
      <c r="D43" s="323"/>
      <c r="E43" s="321"/>
      <c r="F43" s="321"/>
      <c r="G43" s="321"/>
      <c r="H43" s="321">
        <v>1758</v>
      </c>
      <c r="I43" s="322">
        <v>1846</v>
      </c>
      <c r="J43" s="322">
        <f t="shared" si="0"/>
        <v>1846</v>
      </c>
      <c r="K43" s="322">
        <f t="shared" si="1"/>
        <v>1846</v>
      </c>
      <c r="L43" s="322">
        <f t="shared" si="2"/>
        <v>1846</v>
      </c>
      <c r="M43" s="322">
        <f t="shared" si="3"/>
        <v>2030.6000000000001</v>
      </c>
      <c r="N43" s="322">
        <f t="shared" si="4"/>
        <v>2030.6000000000001</v>
      </c>
      <c r="O43" s="322">
        <f t="shared" si="5"/>
        <v>2030.6000000000001</v>
      </c>
      <c r="P43" s="322">
        <f t="shared" si="6"/>
        <v>2030.6000000000001</v>
      </c>
      <c r="Q43" s="1253">
        <f t="shared" si="7"/>
        <v>2030.6000000000001</v>
      </c>
      <c r="R43" s="194"/>
    </row>
    <row r="44" spans="1:18" ht="19.5">
      <c r="A44" s="1110">
        <v>42</v>
      </c>
      <c r="B44" s="326" t="s">
        <v>775</v>
      </c>
      <c r="C44" s="618" t="s">
        <v>766</v>
      </c>
      <c r="D44" s="323"/>
      <c r="E44" s="321"/>
      <c r="F44" s="321"/>
      <c r="G44" s="321"/>
      <c r="H44" s="321">
        <v>1800</v>
      </c>
      <c r="I44" s="322">
        <v>1890</v>
      </c>
      <c r="J44" s="322">
        <f t="shared" si="0"/>
        <v>1890</v>
      </c>
      <c r="K44" s="322">
        <f t="shared" si="1"/>
        <v>1890</v>
      </c>
      <c r="L44" s="322">
        <f t="shared" si="2"/>
        <v>1890</v>
      </c>
      <c r="M44" s="322">
        <f t="shared" si="3"/>
        <v>2079</v>
      </c>
      <c r="N44" s="322">
        <f t="shared" si="4"/>
        <v>2079</v>
      </c>
      <c r="O44" s="322">
        <f t="shared" si="5"/>
        <v>2079</v>
      </c>
      <c r="P44" s="322">
        <f t="shared" si="6"/>
        <v>2079</v>
      </c>
      <c r="Q44" s="1253">
        <f t="shared" si="7"/>
        <v>2079</v>
      </c>
      <c r="R44" s="194"/>
    </row>
    <row r="45" spans="1:18" ht="19.5">
      <c r="A45" s="1110">
        <v>43</v>
      </c>
      <c r="B45" s="326" t="s">
        <v>776</v>
      </c>
      <c r="C45" s="618" t="s">
        <v>766</v>
      </c>
      <c r="D45" s="323"/>
      <c r="E45" s="321"/>
      <c r="F45" s="321"/>
      <c r="G45" s="321"/>
      <c r="H45" s="321">
        <v>2058</v>
      </c>
      <c r="I45" s="322">
        <v>2161</v>
      </c>
      <c r="J45" s="322">
        <f t="shared" si="0"/>
        <v>2161</v>
      </c>
      <c r="K45" s="322">
        <f t="shared" si="1"/>
        <v>2161</v>
      </c>
      <c r="L45" s="322">
        <f t="shared" si="2"/>
        <v>2161</v>
      </c>
      <c r="M45" s="322">
        <f t="shared" si="3"/>
        <v>2377.1000000000004</v>
      </c>
      <c r="N45" s="322">
        <f t="shared" si="4"/>
        <v>2377.1000000000004</v>
      </c>
      <c r="O45" s="322">
        <f t="shared" si="5"/>
        <v>2377.1000000000004</v>
      </c>
      <c r="P45" s="322">
        <f t="shared" si="6"/>
        <v>2377.1000000000004</v>
      </c>
      <c r="Q45" s="1253">
        <f t="shared" si="7"/>
        <v>2377.1000000000004</v>
      </c>
      <c r="R45" s="194"/>
    </row>
    <row r="46" spans="1:18" ht="19.5">
      <c r="A46" s="1110">
        <v>44</v>
      </c>
      <c r="B46" s="326" t="s">
        <v>777</v>
      </c>
      <c r="C46" s="618" t="s">
        <v>766</v>
      </c>
      <c r="D46" s="323"/>
      <c r="E46" s="321"/>
      <c r="F46" s="321"/>
      <c r="G46" s="321"/>
      <c r="H46" s="321">
        <v>2775</v>
      </c>
      <c r="I46" s="322">
        <v>2914</v>
      </c>
      <c r="J46" s="322">
        <f t="shared" si="0"/>
        <v>2914</v>
      </c>
      <c r="K46" s="322">
        <f t="shared" si="1"/>
        <v>2914</v>
      </c>
      <c r="L46" s="322">
        <f t="shared" si="2"/>
        <v>2914</v>
      </c>
      <c r="M46" s="322">
        <f t="shared" si="3"/>
        <v>3205.4</v>
      </c>
      <c r="N46" s="322">
        <f t="shared" si="4"/>
        <v>3205.4</v>
      </c>
      <c r="O46" s="322">
        <f t="shared" si="5"/>
        <v>3205.4</v>
      </c>
      <c r="P46" s="322">
        <f t="shared" si="6"/>
        <v>3205.4</v>
      </c>
      <c r="Q46" s="1253">
        <f t="shared" si="7"/>
        <v>3205.4</v>
      </c>
      <c r="R46" s="194"/>
    </row>
    <row r="47" spans="1:18" ht="19.5">
      <c r="A47" s="1110">
        <v>45</v>
      </c>
      <c r="B47" s="326" t="s">
        <v>778</v>
      </c>
      <c r="C47" s="618" t="s">
        <v>766</v>
      </c>
      <c r="D47" s="323"/>
      <c r="E47" s="321"/>
      <c r="F47" s="321"/>
      <c r="G47" s="321"/>
      <c r="H47" s="321">
        <v>2200</v>
      </c>
      <c r="I47" s="322">
        <v>2310</v>
      </c>
      <c r="J47" s="322">
        <f t="shared" si="0"/>
        <v>2310</v>
      </c>
      <c r="K47" s="322">
        <f t="shared" si="1"/>
        <v>2310</v>
      </c>
      <c r="L47" s="322">
        <f t="shared" si="2"/>
        <v>2310</v>
      </c>
      <c r="M47" s="322">
        <f t="shared" si="3"/>
        <v>2541</v>
      </c>
      <c r="N47" s="322">
        <f t="shared" si="4"/>
        <v>2541</v>
      </c>
      <c r="O47" s="322">
        <f t="shared" si="5"/>
        <v>2541</v>
      </c>
      <c r="P47" s="322">
        <f t="shared" si="6"/>
        <v>2541</v>
      </c>
      <c r="Q47" s="1253">
        <f t="shared" si="7"/>
        <v>2541</v>
      </c>
      <c r="R47" s="194"/>
    </row>
    <row r="48" spans="1:18" ht="21.75">
      <c r="A48" s="1110">
        <v>46</v>
      </c>
      <c r="B48" s="1254" t="s">
        <v>2586</v>
      </c>
      <c r="C48" s="618" t="s">
        <v>733</v>
      </c>
      <c r="D48" s="324"/>
      <c r="E48" s="325"/>
      <c r="F48" s="325"/>
      <c r="G48" s="325"/>
      <c r="H48" s="321">
        <v>2925</v>
      </c>
      <c r="I48" s="322">
        <v>3071</v>
      </c>
      <c r="J48" s="322">
        <f t="shared" si="0"/>
        <v>3071</v>
      </c>
      <c r="K48" s="322">
        <f t="shared" si="1"/>
        <v>3071</v>
      </c>
      <c r="L48" s="322">
        <f t="shared" si="2"/>
        <v>3071</v>
      </c>
      <c r="M48" s="322">
        <f t="shared" si="3"/>
        <v>3378.1000000000004</v>
      </c>
      <c r="N48" s="322">
        <f t="shared" si="4"/>
        <v>3378.1000000000004</v>
      </c>
      <c r="O48" s="322">
        <f t="shared" si="5"/>
        <v>3378.1000000000004</v>
      </c>
      <c r="P48" s="322">
        <f t="shared" si="6"/>
        <v>3378.1000000000004</v>
      </c>
      <c r="Q48" s="1253">
        <f t="shared" si="7"/>
        <v>3378.1000000000004</v>
      </c>
      <c r="R48" s="194"/>
    </row>
    <row r="49" spans="1:18" ht="21.75">
      <c r="A49" s="1110">
        <v>47</v>
      </c>
      <c r="B49" s="1254" t="s">
        <v>2587</v>
      </c>
      <c r="C49" s="618" t="s">
        <v>733</v>
      </c>
      <c r="D49" s="324"/>
      <c r="E49" s="325"/>
      <c r="F49" s="325"/>
      <c r="G49" s="325"/>
      <c r="H49" s="321">
        <v>5600</v>
      </c>
      <c r="I49" s="322">
        <v>5880</v>
      </c>
      <c r="J49" s="322">
        <f t="shared" si="0"/>
        <v>5880</v>
      </c>
      <c r="K49" s="322">
        <f t="shared" si="1"/>
        <v>5880</v>
      </c>
      <c r="L49" s="322">
        <f t="shared" si="2"/>
        <v>5880</v>
      </c>
      <c r="M49" s="322">
        <f t="shared" si="3"/>
        <v>6468.0000000000009</v>
      </c>
      <c r="N49" s="322">
        <f t="shared" si="4"/>
        <v>6468.0000000000009</v>
      </c>
      <c r="O49" s="322">
        <f t="shared" si="5"/>
        <v>6468.0000000000009</v>
      </c>
      <c r="P49" s="322">
        <f t="shared" si="6"/>
        <v>6468.0000000000009</v>
      </c>
      <c r="Q49" s="1253">
        <f t="shared" si="7"/>
        <v>6468.0000000000009</v>
      </c>
      <c r="R49" s="194"/>
    </row>
    <row r="50" spans="1:18" ht="21.75">
      <c r="A50" s="1110">
        <v>48</v>
      </c>
      <c r="B50" s="1254" t="s">
        <v>2588</v>
      </c>
      <c r="C50" s="618" t="s">
        <v>733</v>
      </c>
      <c r="D50" s="324"/>
      <c r="E50" s="325"/>
      <c r="F50" s="325"/>
      <c r="G50" s="325"/>
      <c r="H50" s="321">
        <v>715</v>
      </c>
      <c r="I50" s="322">
        <v>751</v>
      </c>
      <c r="J50" s="322">
        <f t="shared" si="0"/>
        <v>751</v>
      </c>
      <c r="K50" s="322">
        <f t="shared" si="1"/>
        <v>751</v>
      </c>
      <c r="L50" s="322">
        <f t="shared" si="2"/>
        <v>751</v>
      </c>
      <c r="M50" s="322">
        <f t="shared" si="3"/>
        <v>826.1</v>
      </c>
      <c r="N50" s="322">
        <f t="shared" si="4"/>
        <v>826.1</v>
      </c>
      <c r="O50" s="322">
        <f t="shared" si="5"/>
        <v>826.1</v>
      </c>
      <c r="P50" s="322">
        <f t="shared" si="6"/>
        <v>826.1</v>
      </c>
      <c r="Q50" s="1253">
        <f t="shared" si="7"/>
        <v>826.1</v>
      </c>
      <c r="R50" s="194"/>
    </row>
    <row r="51" spans="1:18" ht="21.75">
      <c r="A51" s="1110">
        <v>49</v>
      </c>
      <c r="B51" s="1254" t="s">
        <v>2589</v>
      </c>
      <c r="C51" s="618" t="s">
        <v>733</v>
      </c>
      <c r="D51" s="324"/>
      <c r="E51" s="325"/>
      <c r="F51" s="325"/>
      <c r="G51" s="325"/>
      <c r="H51" s="321">
        <v>825</v>
      </c>
      <c r="I51" s="322">
        <v>866</v>
      </c>
      <c r="J51" s="322">
        <f t="shared" si="0"/>
        <v>866</v>
      </c>
      <c r="K51" s="322">
        <f t="shared" si="1"/>
        <v>866</v>
      </c>
      <c r="L51" s="322">
        <f t="shared" si="2"/>
        <v>866</v>
      </c>
      <c r="M51" s="322">
        <f t="shared" si="3"/>
        <v>952.6</v>
      </c>
      <c r="N51" s="322">
        <f t="shared" si="4"/>
        <v>952.6</v>
      </c>
      <c r="O51" s="322">
        <f t="shared" si="5"/>
        <v>952.6</v>
      </c>
      <c r="P51" s="322">
        <f t="shared" si="6"/>
        <v>952.6</v>
      </c>
      <c r="Q51" s="1253">
        <f t="shared" si="7"/>
        <v>952.6</v>
      </c>
      <c r="R51" s="194"/>
    </row>
    <row r="52" spans="1:18" ht="21.75">
      <c r="A52" s="1110">
        <v>50</v>
      </c>
      <c r="B52" s="1254" t="s">
        <v>2590</v>
      </c>
      <c r="C52" s="618" t="s">
        <v>733</v>
      </c>
      <c r="D52" s="324"/>
      <c r="E52" s="325"/>
      <c r="F52" s="325"/>
      <c r="G52" s="325"/>
      <c r="H52" s="321">
        <v>1600</v>
      </c>
      <c r="I52" s="322">
        <v>1680</v>
      </c>
      <c r="J52" s="322">
        <f t="shared" si="0"/>
        <v>1680</v>
      </c>
      <c r="K52" s="322">
        <f t="shared" si="1"/>
        <v>1680</v>
      </c>
      <c r="L52" s="322">
        <f t="shared" si="2"/>
        <v>1680</v>
      </c>
      <c r="M52" s="322">
        <f t="shared" si="3"/>
        <v>1848.0000000000002</v>
      </c>
      <c r="N52" s="322">
        <f t="shared" si="4"/>
        <v>1848.0000000000002</v>
      </c>
      <c r="O52" s="322">
        <f t="shared" si="5"/>
        <v>1848.0000000000002</v>
      </c>
      <c r="P52" s="322">
        <f t="shared" si="6"/>
        <v>1848.0000000000002</v>
      </c>
      <c r="Q52" s="1253">
        <f t="shared" si="7"/>
        <v>1848.0000000000002</v>
      </c>
      <c r="R52" s="194"/>
    </row>
    <row r="53" spans="1:18" ht="21.75">
      <c r="A53" s="1110">
        <v>51</v>
      </c>
      <c r="B53" s="1254" t="s">
        <v>2591</v>
      </c>
      <c r="C53" s="618" t="s">
        <v>733</v>
      </c>
      <c r="D53" s="324"/>
      <c r="E53" s="325"/>
      <c r="F53" s="325"/>
      <c r="G53" s="325"/>
      <c r="H53" s="321">
        <v>2850</v>
      </c>
      <c r="I53" s="322">
        <v>2993</v>
      </c>
      <c r="J53" s="322">
        <f t="shared" si="0"/>
        <v>2993</v>
      </c>
      <c r="K53" s="322">
        <f t="shared" si="1"/>
        <v>2993</v>
      </c>
      <c r="L53" s="322">
        <f t="shared" si="2"/>
        <v>2993</v>
      </c>
      <c r="M53" s="322">
        <f t="shared" si="3"/>
        <v>3292.3</v>
      </c>
      <c r="N53" s="322">
        <f t="shared" si="4"/>
        <v>3292.3</v>
      </c>
      <c r="O53" s="322">
        <f t="shared" si="5"/>
        <v>3292.3</v>
      </c>
      <c r="P53" s="322">
        <f t="shared" si="6"/>
        <v>3292.3</v>
      </c>
      <c r="Q53" s="1253">
        <f t="shared" si="7"/>
        <v>3292.3</v>
      </c>
      <c r="R53" s="194"/>
    </row>
    <row r="54" spans="1:18" ht="21.75">
      <c r="A54" s="1110">
        <v>52</v>
      </c>
      <c r="B54" s="1254" t="s">
        <v>2592</v>
      </c>
      <c r="C54" s="618" t="s">
        <v>733</v>
      </c>
      <c r="D54" s="324"/>
      <c r="E54" s="325"/>
      <c r="F54" s="325"/>
      <c r="G54" s="325"/>
      <c r="H54" s="321">
        <v>435</v>
      </c>
      <c r="I54" s="322">
        <v>457</v>
      </c>
      <c r="J54" s="322">
        <f t="shared" si="0"/>
        <v>457</v>
      </c>
      <c r="K54" s="322">
        <f t="shared" si="1"/>
        <v>457</v>
      </c>
      <c r="L54" s="322">
        <f t="shared" si="2"/>
        <v>457</v>
      </c>
      <c r="M54" s="322">
        <f t="shared" si="3"/>
        <v>502.70000000000005</v>
      </c>
      <c r="N54" s="322">
        <f t="shared" si="4"/>
        <v>502.70000000000005</v>
      </c>
      <c r="O54" s="322">
        <f t="shared" si="5"/>
        <v>502.70000000000005</v>
      </c>
      <c r="P54" s="322">
        <f t="shared" si="6"/>
        <v>502.70000000000005</v>
      </c>
      <c r="Q54" s="1253">
        <f t="shared" si="7"/>
        <v>502.70000000000005</v>
      </c>
      <c r="R54" s="194"/>
    </row>
    <row r="55" spans="1:18" ht="21.75">
      <c r="A55" s="1110">
        <v>53</v>
      </c>
      <c r="B55" s="1254" t="s">
        <v>2593</v>
      </c>
      <c r="C55" s="618" t="s">
        <v>733</v>
      </c>
      <c r="D55" s="324"/>
      <c r="E55" s="325"/>
      <c r="F55" s="325"/>
      <c r="G55" s="325"/>
      <c r="H55" s="321">
        <v>675</v>
      </c>
      <c r="I55" s="322">
        <v>709</v>
      </c>
      <c r="J55" s="322">
        <f t="shared" si="0"/>
        <v>709</v>
      </c>
      <c r="K55" s="322">
        <f t="shared" si="1"/>
        <v>709</v>
      </c>
      <c r="L55" s="322">
        <f t="shared" si="2"/>
        <v>709</v>
      </c>
      <c r="M55" s="322">
        <f t="shared" si="3"/>
        <v>779.90000000000009</v>
      </c>
      <c r="N55" s="322">
        <f t="shared" si="4"/>
        <v>779.90000000000009</v>
      </c>
      <c r="O55" s="322">
        <f t="shared" si="5"/>
        <v>779.90000000000009</v>
      </c>
      <c r="P55" s="322">
        <f t="shared" si="6"/>
        <v>779.90000000000009</v>
      </c>
      <c r="Q55" s="1253">
        <f t="shared" si="7"/>
        <v>779.90000000000009</v>
      </c>
      <c r="R55" s="194"/>
    </row>
    <row r="56" spans="1:18" ht="21.75">
      <c r="A56" s="1110">
        <v>54</v>
      </c>
      <c r="B56" s="1254" t="s">
        <v>2594</v>
      </c>
      <c r="C56" s="618" t="s">
        <v>733</v>
      </c>
      <c r="D56" s="324"/>
      <c r="E56" s="325"/>
      <c r="F56" s="325"/>
      <c r="G56" s="325"/>
      <c r="H56" s="321">
        <v>1900</v>
      </c>
      <c r="I56" s="322">
        <v>1995</v>
      </c>
      <c r="J56" s="322">
        <f t="shared" si="0"/>
        <v>1995</v>
      </c>
      <c r="K56" s="322">
        <f t="shared" si="1"/>
        <v>1995</v>
      </c>
      <c r="L56" s="322">
        <f t="shared" si="2"/>
        <v>1995</v>
      </c>
      <c r="M56" s="322">
        <f t="shared" si="3"/>
        <v>2194.5</v>
      </c>
      <c r="N56" s="322">
        <f t="shared" si="4"/>
        <v>2194.5</v>
      </c>
      <c r="O56" s="322">
        <f t="shared" si="5"/>
        <v>2194.5</v>
      </c>
      <c r="P56" s="322">
        <f t="shared" si="6"/>
        <v>2194.5</v>
      </c>
      <c r="Q56" s="1253">
        <f t="shared" si="7"/>
        <v>2194.5</v>
      </c>
      <c r="R56" s="194"/>
    </row>
    <row r="57" spans="1:18" ht="21.75">
      <c r="A57" s="1110">
        <v>55</v>
      </c>
      <c r="B57" s="1254" t="s">
        <v>2604</v>
      </c>
      <c r="C57" s="618" t="s">
        <v>733</v>
      </c>
      <c r="D57" s="324"/>
      <c r="E57" s="325"/>
      <c r="F57" s="325"/>
      <c r="G57" s="325"/>
      <c r="H57" s="321">
        <v>2575</v>
      </c>
      <c r="I57" s="322">
        <v>2704</v>
      </c>
      <c r="J57" s="322">
        <f t="shared" si="0"/>
        <v>2704</v>
      </c>
      <c r="K57" s="322">
        <f t="shared" si="1"/>
        <v>2704</v>
      </c>
      <c r="L57" s="322">
        <f t="shared" si="2"/>
        <v>2704</v>
      </c>
      <c r="M57" s="322">
        <f t="shared" si="3"/>
        <v>2974.4</v>
      </c>
      <c r="N57" s="322">
        <f t="shared" si="4"/>
        <v>2974.4</v>
      </c>
      <c r="O57" s="322">
        <f t="shared" si="5"/>
        <v>2974.4</v>
      </c>
      <c r="P57" s="322">
        <f t="shared" si="6"/>
        <v>2974.4</v>
      </c>
      <c r="Q57" s="1253">
        <f t="shared" si="7"/>
        <v>2974.4</v>
      </c>
      <c r="R57" s="194"/>
    </row>
    <row r="58" spans="1:18" ht="21.75">
      <c r="A58" s="1110">
        <v>56</v>
      </c>
      <c r="B58" s="1254" t="s">
        <v>2605</v>
      </c>
      <c r="C58" s="618" t="s">
        <v>733</v>
      </c>
      <c r="D58" s="324"/>
      <c r="E58" s="325"/>
      <c r="F58" s="325"/>
      <c r="G58" s="325"/>
      <c r="H58" s="321">
        <v>5400</v>
      </c>
      <c r="I58" s="322">
        <v>5670</v>
      </c>
      <c r="J58" s="322">
        <f t="shared" si="0"/>
        <v>5670</v>
      </c>
      <c r="K58" s="322">
        <f t="shared" si="1"/>
        <v>5670</v>
      </c>
      <c r="L58" s="322">
        <f t="shared" si="2"/>
        <v>5670</v>
      </c>
      <c r="M58" s="322">
        <f t="shared" si="3"/>
        <v>6237.0000000000009</v>
      </c>
      <c r="N58" s="322">
        <f t="shared" si="4"/>
        <v>6237.0000000000009</v>
      </c>
      <c r="O58" s="322">
        <f t="shared" si="5"/>
        <v>6237.0000000000009</v>
      </c>
      <c r="P58" s="322">
        <f t="shared" si="6"/>
        <v>6237.0000000000009</v>
      </c>
      <c r="Q58" s="1253">
        <f t="shared" si="7"/>
        <v>6237.0000000000009</v>
      </c>
      <c r="R58" s="194"/>
    </row>
    <row r="59" spans="1:18" ht="21.75">
      <c r="A59" s="1110">
        <v>57</v>
      </c>
      <c r="B59" s="1254" t="s">
        <v>2595</v>
      </c>
      <c r="C59" s="618" t="s">
        <v>733</v>
      </c>
      <c r="D59" s="324"/>
      <c r="E59" s="325"/>
      <c r="F59" s="325"/>
      <c r="G59" s="325"/>
      <c r="H59" s="321">
        <v>100</v>
      </c>
      <c r="I59" s="322">
        <v>105</v>
      </c>
      <c r="J59" s="322">
        <f t="shared" si="0"/>
        <v>105</v>
      </c>
      <c r="K59" s="322">
        <f t="shared" si="1"/>
        <v>105</v>
      </c>
      <c r="L59" s="322">
        <f t="shared" si="2"/>
        <v>105</v>
      </c>
      <c r="M59" s="322">
        <f t="shared" si="3"/>
        <v>115.50000000000001</v>
      </c>
      <c r="N59" s="322">
        <f t="shared" si="4"/>
        <v>115.50000000000001</v>
      </c>
      <c r="O59" s="322">
        <f t="shared" si="5"/>
        <v>115.50000000000001</v>
      </c>
      <c r="P59" s="322">
        <f t="shared" si="6"/>
        <v>115.50000000000001</v>
      </c>
      <c r="Q59" s="1472">
        <f t="shared" si="7"/>
        <v>115.50000000000001</v>
      </c>
      <c r="R59" s="194"/>
    </row>
    <row r="60" spans="1:18" ht="21.75">
      <c r="A60" s="1110">
        <v>58</v>
      </c>
      <c r="B60" s="1254" t="s">
        <v>2596</v>
      </c>
      <c r="C60" s="618" t="s">
        <v>733</v>
      </c>
      <c r="D60" s="324"/>
      <c r="E60" s="325"/>
      <c r="F60" s="325"/>
      <c r="G60" s="325"/>
      <c r="H60" s="321">
        <v>185</v>
      </c>
      <c r="I60" s="322">
        <v>194</v>
      </c>
      <c r="J60" s="322">
        <f t="shared" si="0"/>
        <v>194</v>
      </c>
      <c r="K60" s="322">
        <f t="shared" si="1"/>
        <v>194</v>
      </c>
      <c r="L60" s="322">
        <f t="shared" si="2"/>
        <v>194</v>
      </c>
      <c r="M60" s="322">
        <f t="shared" si="3"/>
        <v>213.4</v>
      </c>
      <c r="N60" s="322">
        <f t="shared" si="4"/>
        <v>213.4</v>
      </c>
      <c r="O60" s="322">
        <f t="shared" si="5"/>
        <v>213.4</v>
      </c>
      <c r="P60" s="322">
        <f t="shared" si="6"/>
        <v>213.4</v>
      </c>
      <c r="Q60" s="1472">
        <f t="shared" si="7"/>
        <v>213.4</v>
      </c>
      <c r="R60" s="194"/>
    </row>
    <row r="61" spans="1:18" ht="21.75">
      <c r="A61" s="1110">
        <v>59</v>
      </c>
      <c r="B61" s="1254" t="s">
        <v>2597</v>
      </c>
      <c r="C61" s="618" t="s">
        <v>733</v>
      </c>
      <c r="D61" s="324"/>
      <c r="E61" s="325"/>
      <c r="F61" s="325"/>
      <c r="G61" s="325"/>
      <c r="H61" s="321">
        <v>1580</v>
      </c>
      <c r="I61" s="322">
        <v>1659</v>
      </c>
      <c r="J61" s="322">
        <f t="shared" si="0"/>
        <v>1659</v>
      </c>
      <c r="K61" s="322">
        <f t="shared" si="1"/>
        <v>1659</v>
      </c>
      <c r="L61" s="322">
        <f t="shared" si="2"/>
        <v>1659</v>
      </c>
      <c r="M61" s="322">
        <f t="shared" si="3"/>
        <v>1824.9</v>
      </c>
      <c r="N61" s="322">
        <f t="shared" si="4"/>
        <v>1824.9</v>
      </c>
      <c r="O61" s="322">
        <f t="shared" si="5"/>
        <v>1824.9</v>
      </c>
      <c r="P61" s="322">
        <f t="shared" si="6"/>
        <v>1824.9</v>
      </c>
      <c r="Q61" s="1253">
        <f t="shared" si="7"/>
        <v>1824.9</v>
      </c>
      <c r="R61" s="194"/>
    </row>
    <row r="62" spans="1:18" ht="21.75">
      <c r="A62" s="1110">
        <v>60</v>
      </c>
      <c r="B62" s="1254" t="s">
        <v>2598</v>
      </c>
      <c r="C62" s="618" t="s">
        <v>733</v>
      </c>
      <c r="D62" s="324"/>
      <c r="E62" s="325"/>
      <c r="F62" s="325"/>
      <c r="G62" s="325"/>
      <c r="H62" s="321">
        <v>2265</v>
      </c>
      <c r="I62" s="322">
        <v>2378</v>
      </c>
      <c r="J62" s="322">
        <f t="shared" si="0"/>
        <v>2378</v>
      </c>
      <c r="K62" s="322">
        <f t="shared" si="1"/>
        <v>2378</v>
      </c>
      <c r="L62" s="322">
        <f t="shared" si="2"/>
        <v>2378</v>
      </c>
      <c r="M62" s="322">
        <f t="shared" si="3"/>
        <v>2615.8000000000002</v>
      </c>
      <c r="N62" s="322">
        <f t="shared" si="4"/>
        <v>2615.8000000000002</v>
      </c>
      <c r="O62" s="322">
        <f t="shared" si="5"/>
        <v>2615.8000000000002</v>
      </c>
      <c r="P62" s="322">
        <f t="shared" si="6"/>
        <v>2615.8000000000002</v>
      </c>
      <c r="Q62" s="1253">
        <f t="shared" si="7"/>
        <v>2615.8000000000002</v>
      </c>
      <c r="R62" s="194"/>
    </row>
    <row r="63" spans="1:18" ht="21.75">
      <c r="A63" s="1110">
        <v>61</v>
      </c>
      <c r="B63" s="1254" t="s">
        <v>2599</v>
      </c>
      <c r="C63" s="618" t="s">
        <v>733</v>
      </c>
      <c r="D63" s="324"/>
      <c r="E63" s="325"/>
      <c r="F63" s="325"/>
      <c r="G63" s="325"/>
      <c r="H63" s="321">
        <v>965</v>
      </c>
      <c r="I63" s="322">
        <v>1013</v>
      </c>
      <c r="J63" s="322">
        <f t="shared" si="0"/>
        <v>1013</v>
      </c>
      <c r="K63" s="322">
        <f t="shared" si="1"/>
        <v>1013</v>
      </c>
      <c r="L63" s="322">
        <f t="shared" si="2"/>
        <v>1013</v>
      </c>
      <c r="M63" s="322">
        <f t="shared" si="3"/>
        <v>1114.3000000000002</v>
      </c>
      <c r="N63" s="322">
        <f t="shared" si="4"/>
        <v>1114.3000000000002</v>
      </c>
      <c r="O63" s="322">
        <f t="shared" si="5"/>
        <v>1114.3000000000002</v>
      </c>
      <c r="P63" s="322">
        <f t="shared" si="6"/>
        <v>1114.3000000000002</v>
      </c>
      <c r="Q63" s="1253">
        <f t="shared" si="7"/>
        <v>1114.3000000000002</v>
      </c>
      <c r="R63" s="194"/>
    </row>
    <row r="64" spans="1:18" ht="21.75">
      <c r="A64" s="1110">
        <v>62</v>
      </c>
      <c r="B64" s="1254" t="s">
        <v>2600</v>
      </c>
      <c r="C64" s="618" t="s">
        <v>733</v>
      </c>
      <c r="D64" s="324"/>
      <c r="E64" s="325"/>
      <c r="F64" s="325"/>
      <c r="G64" s="325"/>
      <c r="H64" s="321">
        <v>1278</v>
      </c>
      <c r="I64" s="322">
        <v>1342</v>
      </c>
      <c r="J64" s="322">
        <f t="shared" si="0"/>
        <v>1342</v>
      </c>
      <c r="K64" s="322">
        <f t="shared" si="1"/>
        <v>1342</v>
      </c>
      <c r="L64" s="322">
        <f t="shared" si="2"/>
        <v>1342</v>
      </c>
      <c r="M64" s="322">
        <f t="shared" si="3"/>
        <v>1476.2</v>
      </c>
      <c r="N64" s="322">
        <f t="shared" si="4"/>
        <v>1476.2</v>
      </c>
      <c r="O64" s="322">
        <f t="shared" si="5"/>
        <v>1476.2</v>
      </c>
      <c r="P64" s="322">
        <f t="shared" si="6"/>
        <v>1476.2</v>
      </c>
      <c r="Q64" s="1253">
        <f t="shared" si="7"/>
        <v>1476.2</v>
      </c>
      <c r="R64" s="194"/>
    </row>
    <row r="65" spans="1:18" ht="21.75">
      <c r="A65" s="1110">
        <v>63</v>
      </c>
      <c r="B65" s="1254" t="s">
        <v>2601</v>
      </c>
      <c r="C65" s="618" t="s">
        <v>733</v>
      </c>
      <c r="D65" s="324"/>
      <c r="E65" s="325"/>
      <c r="F65" s="325"/>
      <c r="G65" s="325"/>
      <c r="H65" s="321">
        <v>1575</v>
      </c>
      <c r="I65" s="322">
        <v>1654</v>
      </c>
      <c r="J65" s="322">
        <f t="shared" si="0"/>
        <v>1654</v>
      </c>
      <c r="K65" s="322">
        <f t="shared" si="1"/>
        <v>1654</v>
      </c>
      <c r="L65" s="322">
        <f t="shared" si="2"/>
        <v>1654</v>
      </c>
      <c r="M65" s="322">
        <f t="shared" si="3"/>
        <v>1819.4</v>
      </c>
      <c r="N65" s="322">
        <f t="shared" si="4"/>
        <v>1819.4</v>
      </c>
      <c r="O65" s="322">
        <f t="shared" si="5"/>
        <v>1819.4</v>
      </c>
      <c r="P65" s="322">
        <f t="shared" si="6"/>
        <v>1819.4</v>
      </c>
      <c r="Q65" s="1253">
        <f t="shared" si="7"/>
        <v>1819.4</v>
      </c>
      <c r="R65" s="194"/>
    </row>
    <row r="66" spans="1:18" ht="21.75">
      <c r="A66" s="1110">
        <v>64</v>
      </c>
      <c r="B66" s="1254" t="s">
        <v>2602</v>
      </c>
      <c r="C66" s="618" t="s">
        <v>733</v>
      </c>
      <c r="D66" s="324"/>
      <c r="E66" s="325"/>
      <c r="F66" s="325"/>
      <c r="G66" s="325"/>
      <c r="H66" s="321">
        <v>2065</v>
      </c>
      <c r="I66" s="322">
        <v>2168</v>
      </c>
      <c r="J66" s="322">
        <f t="shared" si="0"/>
        <v>2168</v>
      </c>
      <c r="K66" s="322">
        <f t="shared" si="1"/>
        <v>2168</v>
      </c>
      <c r="L66" s="322">
        <f t="shared" si="2"/>
        <v>2168</v>
      </c>
      <c r="M66" s="322">
        <f t="shared" si="3"/>
        <v>2384.8000000000002</v>
      </c>
      <c r="N66" s="322">
        <f t="shared" si="4"/>
        <v>2384.8000000000002</v>
      </c>
      <c r="O66" s="322">
        <f t="shared" si="5"/>
        <v>2384.8000000000002</v>
      </c>
      <c r="P66" s="322">
        <f t="shared" si="6"/>
        <v>2384.8000000000002</v>
      </c>
      <c r="Q66" s="1253">
        <f t="shared" si="7"/>
        <v>2384.8000000000002</v>
      </c>
      <c r="R66" s="194"/>
    </row>
    <row r="67" spans="1:18" ht="19.5">
      <c r="A67" s="1110">
        <v>65</v>
      </c>
      <c r="B67" s="326" t="s">
        <v>779</v>
      </c>
      <c r="C67" s="618" t="s">
        <v>733</v>
      </c>
      <c r="D67" s="324"/>
      <c r="E67" s="325"/>
      <c r="F67" s="325"/>
      <c r="G67" s="325"/>
      <c r="H67" s="321">
        <v>800</v>
      </c>
      <c r="I67" s="322">
        <v>840</v>
      </c>
      <c r="J67" s="322">
        <f t="shared" si="0"/>
        <v>840</v>
      </c>
      <c r="K67" s="322">
        <f t="shared" si="1"/>
        <v>840</v>
      </c>
      <c r="L67" s="322">
        <f t="shared" si="2"/>
        <v>840</v>
      </c>
      <c r="M67" s="322">
        <f t="shared" si="3"/>
        <v>924.00000000000011</v>
      </c>
      <c r="N67" s="322">
        <f t="shared" si="4"/>
        <v>924.00000000000011</v>
      </c>
      <c r="O67" s="322">
        <f t="shared" si="5"/>
        <v>924.00000000000011</v>
      </c>
      <c r="P67" s="322">
        <f t="shared" si="6"/>
        <v>924.00000000000011</v>
      </c>
      <c r="Q67" s="1253">
        <f t="shared" si="7"/>
        <v>924.00000000000011</v>
      </c>
      <c r="R67" s="194"/>
    </row>
    <row r="68" spans="1:18" ht="21.75">
      <c r="A68" s="1110">
        <v>66</v>
      </c>
      <c r="B68" s="1254" t="s">
        <v>2584</v>
      </c>
      <c r="C68" s="618" t="s">
        <v>733</v>
      </c>
      <c r="D68" s="324"/>
      <c r="E68" s="325"/>
      <c r="F68" s="325"/>
      <c r="G68" s="325"/>
      <c r="H68" s="321">
        <v>515</v>
      </c>
      <c r="I68" s="322">
        <v>541</v>
      </c>
      <c r="J68" s="322">
        <f t="shared" ref="J68:J75" si="8">I68</f>
        <v>541</v>
      </c>
      <c r="K68" s="322">
        <f t="shared" ref="K68:K75" si="9">J68</f>
        <v>541</v>
      </c>
      <c r="L68" s="322">
        <f t="shared" ref="L68:L75" si="10">K68</f>
        <v>541</v>
      </c>
      <c r="M68" s="322">
        <f t="shared" ref="M68:M75" si="11">L68*1.1</f>
        <v>595.1</v>
      </c>
      <c r="N68" s="322">
        <f t="shared" ref="N68:N75" si="12">M68</f>
        <v>595.1</v>
      </c>
      <c r="O68" s="322">
        <f t="shared" ref="O68:O75" si="13">N68</f>
        <v>595.1</v>
      </c>
      <c r="P68" s="322">
        <f t="shared" ref="P68:P75" si="14">O68</f>
        <v>595.1</v>
      </c>
      <c r="Q68" s="1253">
        <f t="shared" ref="Q68:Q74" si="15">P68</f>
        <v>595.1</v>
      </c>
      <c r="R68" s="194"/>
    </row>
    <row r="69" spans="1:18" ht="39">
      <c r="A69" s="1110">
        <v>67</v>
      </c>
      <c r="B69" s="1256" t="s">
        <v>2583</v>
      </c>
      <c r="C69" s="618" t="s">
        <v>733</v>
      </c>
      <c r="D69" s="324"/>
      <c r="E69" s="325"/>
      <c r="F69" s="325"/>
      <c r="G69" s="325"/>
      <c r="H69" s="321">
        <v>2750</v>
      </c>
      <c r="I69" s="322">
        <v>2888</v>
      </c>
      <c r="J69" s="322">
        <f t="shared" si="8"/>
        <v>2888</v>
      </c>
      <c r="K69" s="322">
        <f t="shared" si="9"/>
        <v>2888</v>
      </c>
      <c r="L69" s="322">
        <f t="shared" si="10"/>
        <v>2888</v>
      </c>
      <c r="M69" s="322">
        <f t="shared" si="11"/>
        <v>3176.8</v>
      </c>
      <c r="N69" s="322">
        <f t="shared" si="12"/>
        <v>3176.8</v>
      </c>
      <c r="O69" s="322">
        <f t="shared" si="13"/>
        <v>3176.8</v>
      </c>
      <c r="P69" s="322">
        <f t="shared" si="14"/>
        <v>3176.8</v>
      </c>
      <c r="Q69" s="1253">
        <f t="shared" si="15"/>
        <v>3176.8</v>
      </c>
      <c r="R69" s="194"/>
    </row>
    <row r="70" spans="1:18" ht="21.75">
      <c r="A70" s="1110">
        <v>68</v>
      </c>
      <c r="B70" s="1254" t="s">
        <v>2581</v>
      </c>
      <c r="C70" s="618" t="s">
        <v>733</v>
      </c>
      <c r="D70" s="324"/>
      <c r="E70" s="325"/>
      <c r="F70" s="325"/>
      <c r="G70" s="325"/>
      <c r="H70" s="321">
        <v>2700</v>
      </c>
      <c r="I70" s="322">
        <v>2835</v>
      </c>
      <c r="J70" s="322">
        <f t="shared" si="8"/>
        <v>2835</v>
      </c>
      <c r="K70" s="322">
        <f t="shared" si="9"/>
        <v>2835</v>
      </c>
      <c r="L70" s="322">
        <f t="shared" si="10"/>
        <v>2835</v>
      </c>
      <c r="M70" s="322">
        <f t="shared" si="11"/>
        <v>3118.5000000000005</v>
      </c>
      <c r="N70" s="322">
        <f t="shared" si="12"/>
        <v>3118.5000000000005</v>
      </c>
      <c r="O70" s="322">
        <f t="shared" si="13"/>
        <v>3118.5000000000005</v>
      </c>
      <c r="P70" s="322">
        <f t="shared" si="14"/>
        <v>3118.5000000000005</v>
      </c>
      <c r="Q70" s="1253">
        <f t="shared" si="15"/>
        <v>3118.5000000000005</v>
      </c>
      <c r="R70" s="194"/>
    </row>
    <row r="71" spans="1:18" ht="39">
      <c r="A71" s="1255">
        <v>69</v>
      </c>
      <c r="B71" s="1257" t="s">
        <v>2582</v>
      </c>
      <c r="C71" s="618" t="s">
        <v>733</v>
      </c>
      <c r="D71" s="324"/>
      <c r="E71" s="325"/>
      <c r="F71" s="325"/>
      <c r="G71" s="325"/>
      <c r="H71" s="321">
        <v>3275</v>
      </c>
      <c r="I71" s="322">
        <v>3439</v>
      </c>
      <c r="J71" s="322">
        <f t="shared" si="8"/>
        <v>3439</v>
      </c>
      <c r="K71" s="322">
        <f t="shared" si="9"/>
        <v>3439</v>
      </c>
      <c r="L71" s="322">
        <f t="shared" si="10"/>
        <v>3439</v>
      </c>
      <c r="M71" s="322">
        <f t="shared" si="11"/>
        <v>3782.9</v>
      </c>
      <c r="N71" s="322">
        <f t="shared" si="12"/>
        <v>3782.9</v>
      </c>
      <c r="O71" s="322">
        <f t="shared" si="13"/>
        <v>3782.9</v>
      </c>
      <c r="P71" s="322">
        <f t="shared" si="14"/>
        <v>3782.9</v>
      </c>
      <c r="Q71" s="1253">
        <f t="shared" si="15"/>
        <v>3782.9</v>
      </c>
      <c r="R71" s="194"/>
    </row>
    <row r="72" spans="1:18" ht="21.75">
      <c r="A72" s="1110">
        <v>70</v>
      </c>
      <c r="B72" s="1254" t="s">
        <v>2577</v>
      </c>
      <c r="C72" s="618" t="s">
        <v>733</v>
      </c>
      <c r="D72" s="324"/>
      <c r="E72" s="325"/>
      <c r="F72" s="325"/>
      <c r="G72" s="325"/>
      <c r="H72" s="321">
        <v>800</v>
      </c>
      <c r="I72" s="322">
        <v>840</v>
      </c>
      <c r="J72" s="322">
        <f t="shared" si="8"/>
        <v>840</v>
      </c>
      <c r="K72" s="322">
        <f t="shared" si="9"/>
        <v>840</v>
      </c>
      <c r="L72" s="322">
        <f t="shared" si="10"/>
        <v>840</v>
      </c>
      <c r="M72" s="322">
        <f t="shared" si="11"/>
        <v>924.00000000000011</v>
      </c>
      <c r="N72" s="322">
        <f t="shared" si="12"/>
        <v>924.00000000000011</v>
      </c>
      <c r="O72" s="322">
        <f t="shared" si="13"/>
        <v>924.00000000000011</v>
      </c>
      <c r="P72" s="322">
        <f t="shared" si="14"/>
        <v>924.00000000000011</v>
      </c>
      <c r="Q72" s="1253">
        <f t="shared" si="15"/>
        <v>924.00000000000011</v>
      </c>
      <c r="R72" s="194"/>
    </row>
    <row r="73" spans="1:18" ht="21.75">
      <c r="A73" s="1110">
        <v>71</v>
      </c>
      <c r="B73" s="1254" t="s">
        <v>2580</v>
      </c>
      <c r="C73" s="618" t="s">
        <v>733</v>
      </c>
      <c r="D73" s="324"/>
      <c r="E73" s="325"/>
      <c r="F73" s="325"/>
      <c r="G73" s="325"/>
      <c r="H73" s="321">
        <v>150</v>
      </c>
      <c r="I73" s="322">
        <v>158</v>
      </c>
      <c r="J73" s="322">
        <f t="shared" si="8"/>
        <v>158</v>
      </c>
      <c r="K73" s="322">
        <f t="shared" si="9"/>
        <v>158</v>
      </c>
      <c r="L73" s="322">
        <f t="shared" si="10"/>
        <v>158</v>
      </c>
      <c r="M73" s="322">
        <f t="shared" si="11"/>
        <v>173.8</v>
      </c>
      <c r="N73" s="322">
        <f t="shared" si="12"/>
        <v>173.8</v>
      </c>
      <c r="O73" s="322">
        <f t="shared" si="13"/>
        <v>173.8</v>
      </c>
      <c r="P73" s="322">
        <f t="shared" si="14"/>
        <v>173.8</v>
      </c>
      <c r="Q73" s="1253">
        <f t="shared" si="15"/>
        <v>173.8</v>
      </c>
      <c r="R73" s="194"/>
    </row>
    <row r="74" spans="1:18" ht="21.75">
      <c r="A74" s="1110">
        <v>72</v>
      </c>
      <c r="B74" s="1254" t="s">
        <v>2579</v>
      </c>
      <c r="C74" s="618" t="s">
        <v>733</v>
      </c>
      <c r="D74" s="324"/>
      <c r="E74" s="325"/>
      <c r="F74" s="325"/>
      <c r="G74" s="325"/>
      <c r="H74" s="321">
        <v>1600</v>
      </c>
      <c r="I74" s="322">
        <v>1680</v>
      </c>
      <c r="J74" s="322">
        <f t="shared" si="8"/>
        <v>1680</v>
      </c>
      <c r="K74" s="322">
        <f t="shared" si="9"/>
        <v>1680</v>
      </c>
      <c r="L74" s="322">
        <f t="shared" si="10"/>
        <v>1680</v>
      </c>
      <c r="M74" s="322">
        <f t="shared" si="11"/>
        <v>1848.0000000000002</v>
      </c>
      <c r="N74" s="322">
        <f t="shared" si="12"/>
        <v>1848.0000000000002</v>
      </c>
      <c r="O74" s="322">
        <f t="shared" si="13"/>
        <v>1848.0000000000002</v>
      </c>
      <c r="P74" s="322">
        <f t="shared" si="14"/>
        <v>1848.0000000000002</v>
      </c>
      <c r="Q74" s="1253">
        <f t="shared" si="15"/>
        <v>1848.0000000000002</v>
      </c>
      <c r="R74" s="194"/>
    </row>
    <row r="75" spans="1:18" ht="22.5" thickBot="1">
      <c r="A75" s="1111">
        <v>73</v>
      </c>
      <c r="B75" s="1258" t="s">
        <v>2578</v>
      </c>
      <c r="C75" s="1112" t="s">
        <v>733</v>
      </c>
      <c r="D75" s="1113"/>
      <c r="E75" s="1114"/>
      <c r="F75" s="1114"/>
      <c r="G75" s="1114"/>
      <c r="H75" s="1115">
        <v>125</v>
      </c>
      <c r="I75" s="1116">
        <v>131</v>
      </c>
      <c r="J75" s="1116">
        <f t="shared" si="8"/>
        <v>131</v>
      </c>
      <c r="K75" s="1116">
        <f t="shared" si="9"/>
        <v>131</v>
      </c>
      <c r="L75" s="1116">
        <f t="shared" si="10"/>
        <v>131</v>
      </c>
      <c r="M75" s="1116">
        <f t="shared" si="11"/>
        <v>144.10000000000002</v>
      </c>
      <c r="N75" s="1116">
        <f t="shared" si="12"/>
        <v>144.10000000000002</v>
      </c>
      <c r="O75" s="1116">
        <f t="shared" si="13"/>
        <v>144.10000000000002</v>
      </c>
      <c r="P75" s="1116">
        <f t="shared" si="14"/>
        <v>144.10000000000002</v>
      </c>
      <c r="Q75" s="1472">
        <v>500</v>
      </c>
      <c r="R75" s="201"/>
    </row>
    <row r="76" spans="1:18">
      <c r="H76" s="617"/>
      <c r="I76" s="617"/>
    </row>
  </sheetData>
  <mergeCells count="1">
    <mergeCell ref="A1:R1"/>
  </mergeCells>
  <phoneticPr fontId="105" type="noConversion"/>
  <printOptions horizontalCentered="1"/>
  <pageMargins left="1.24" right="0.19" top="1.03" bottom="0.73" header="0.5" footer="0.56999999999999995"/>
  <pageSetup paperSize="9" scale="80"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pageSetUpPr fitToPage="1"/>
  </sheetPr>
  <dimension ref="A1:X226"/>
  <sheetViews>
    <sheetView tabSelected="1" view="pageLayout" topLeftCell="A52" zoomScaleNormal="100" zoomScaleSheetLayoutView="100" workbookViewId="0">
      <selection activeCell="D24" sqref="D24"/>
    </sheetView>
  </sheetViews>
  <sheetFormatPr defaultColWidth="9.28515625" defaultRowHeight="15"/>
  <cols>
    <col min="1" max="1" width="6.5703125" style="60" customWidth="1"/>
    <col min="2" max="2" width="42.42578125" style="61" customWidth="1"/>
    <col min="3" max="3" width="8.28515625" style="60" customWidth="1"/>
    <col min="4" max="4" width="4.42578125" style="60" hidden="1" customWidth="1"/>
    <col min="5" max="5" width="9.7109375" style="62" hidden="1" customWidth="1"/>
    <col min="6" max="6" width="10.28515625" style="62" hidden="1" customWidth="1"/>
    <col min="7" max="7" width="4.42578125" style="62" hidden="1" customWidth="1"/>
    <col min="8" max="8" width="14" style="62" hidden="1" customWidth="1"/>
    <col min="9" max="13" width="13.28515625" style="62" hidden="1" customWidth="1"/>
    <col min="14" max="14" width="13.140625" style="13" hidden="1" customWidth="1"/>
    <col min="15" max="15" width="13.140625" style="13" customWidth="1"/>
    <col min="16" max="17" width="13.7109375" style="13" customWidth="1"/>
    <col min="18" max="18" width="9.28515625" style="13"/>
    <col min="19" max="19" width="11.28515625" style="13" bestFit="1" customWidth="1"/>
    <col min="20" max="20" width="13" style="13" customWidth="1"/>
    <col min="21" max="26" width="9.28515625" style="13"/>
    <col min="27" max="27" width="10.7109375" style="13" customWidth="1"/>
    <col min="28" max="28" width="11.42578125" style="13" customWidth="1"/>
    <col min="29" max="16384" width="9.28515625" style="13"/>
  </cols>
  <sheetData>
    <row r="1" spans="1:21" ht="29.25" thickBot="1">
      <c r="A1" s="1670" t="s">
        <v>2295</v>
      </c>
      <c r="B1" s="1670"/>
      <c r="C1" s="1670"/>
      <c r="D1" s="1670"/>
      <c r="E1" s="1670"/>
      <c r="F1" s="1670"/>
      <c r="G1" s="1670"/>
      <c r="H1" s="1670"/>
      <c r="I1" s="1670"/>
      <c r="J1" s="1670"/>
      <c r="K1" s="1670"/>
      <c r="L1" s="1670"/>
      <c r="M1" s="1670"/>
      <c r="N1" s="1670"/>
      <c r="O1" s="1670"/>
      <c r="P1" s="1670"/>
      <c r="Q1" s="1670"/>
      <c r="R1" s="1670"/>
    </row>
    <row r="2" spans="1:21" ht="66" customHeight="1">
      <c r="A2" s="481" t="s">
        <v>0</v>
      </c>
      <c r="B2" s="1352" t="s">
        <v>51</v>
      </c>
      <c r="C2" s="666" t="s">
        <v>1469</v>
      </c>
      <c r="D2" s="484" t="s">
        <v>52</v>
      </c>
      <c r="E2" s="485" t="s">
        <v>53</v>
      </c>
      <c r="F2" s="485" t="s">
        <v>54</v>
      </c>
      <c r="G2" s="485" t="s">
        <v>55</v>
      </c>
      <c r="H2" s="654" t="s">
        <v>1386</v>
      </c>
      <c r="I2" s="654" t="s">
        <v>1421</v>
      </c>
      <c r="J2" s="486" t="s">
        <v>1417</v>
      </c>
      <c r="K2" s="486" t="s">
        <v>1428</v>
      </c>
      <c r="L2" s="486" t="s">
        <v>1432</v>
      </c>
      <c r="M2" s="486" t="s">
        <v>2180</v>
      </c>
      <c r="N2" s="666" t="s">
        <v>2190</v>
      </c>
      <c r="O2" s="666" t="s">
        <v>2191</v>
      </c>
      <c r="P2" s="666" t="s">
        <v>2192</v>
      </c>
      <c r="Q2" s="666" t="s">
        <v>2543</v>
      </c>
      <c r="R2" s="858" t="s">
        <v>9</v>
      </c>
    </row>
    <row r="3" spans="1:21" ht="22.15" customHeight="1">
      <c r="A3" s="1353">
        <v>1</v>
      </c>
      <c r="B3" s="1354" t="s">
        <v>2662</v>
      </c>
      <c r="C3" s="25"/>
      <c r="D3" s="26"/>
      <c r="E3" s="27"/>
      <c r="F3" s="27"/>
      <c r="G3" s="27"/>
      <c r="H3" s="27"/>
      <c r="I3" s="27"/>
      <c r="J3" s="27"/>
      <c r="K3" s="27"/>
      <c r="L3" s="27"/>
      <c r="M3" s="27"/>
      <c r="N3" s="283"/>
      <c r="O3" s="283"/>
      <c r="P3" s="283"/>
      <c r="Q3" s="1259"/>
      <c r="R3" s="194"/>
    </row>
    <row r="4" spans="1:21" ht="19.5">
      <c r="A4" s="1355">
        <v>1.1000000000000001</v>
      </c>
      <c r="B4" s="837" t="s">
        <v>2663</v>
      </c>
      <c r="C4" s="853"/>
      <c r="D4" s="621"/>
      <c r="E4" s="622"/>
      <c r="F4" s="622"/>
      <c r="G4" s="622"/>
      <c r="H4" s="622"/>
      <c r="I4" s="603"/>
      <c r="J4" s="603"/>
      <c r="K4" s="603"/>
      <c r="L4" s="603"/>
      <c r="M4" s="603"/>
      <c r="N4" s="695"/>
      <c r="O4" s="695"/>
      <c r="P4" s="695"/>
      <c r="Q4" s="1260"/>
      <c r="R4" s="658"/>
    </row>
    <row r="5" spans="1:21" ht="19.5">
      <c r="A5" s="1368" t="s">
        <v>2981</v>
      </c>
      <c r="B5" s="312" t="s">
        <v>780</v>
      </c>
      <c r="C5" s="637" t="s">
        <v>1771</v>
      </c>
      <c r="D5" s="26">
        <v>20</v>
      </c>
      <c r="E5" s="27">
        <v>11</v>
      </c>
      <c r="F5" s="27">
        <v>11</v>
      </c>
      <c r="G5" s="27">
        <v>12</v>
      </c>
      <c r="H5" s="27">
        <v>18.165000000000003</v>
      </c>
      <c r="I5" s="27">
        <v>18.165000000000003</v>
      </c>
      <c r="J5" s="27">
        <f>I5</f>
        <v>18.165000000000003</v>
      </c>
      <c r="K5" s="27">
        <f t="shared" ref="K5:K62" si="0">J5</f>
        <v>18.165000000000003</v>
      </c>
      <c r="L5" s="27">
        <f t="shared" ref="L5:L62" si="1">K5</f>
        <v>18.165000000000003</v>
      </c>
      <c r="M5" s="27">
        <f t="shared" ref="M5:M62" si="2">L5*1.1</f>
        <v>19.981500000000004</v>
      </c>
      <c r="N5" s="36">
        <f t="shared" ref="N5:N62" si="3">M5</f>
        <v>19.981500000000004</v>
      </c>
      <c r="O5" s="36">
        <f t="shared" ref="O5:O62" si="4">N5</f>
        <v>19.981500000000004</v>
      </c>
      <c r="P5" s="36">
        <f t="shared" ref="P5:P13" si="5">O5</f>
        <v>19.981500000000004</v>
      </c>
      <c r="Q5" s="213">
        <f>P5</f>
        <v>19.981500000000004</v>
      </c>
      <c r="R5" s="194"/>
    </row>
    <row r="6" spans="1:21" ht="19.5">
      <c r="A6" s="1368" t="s">
        <v>2982</v>
      </c>
      <c r="B6" s="312" t="s">
        <v>781</v>
      </c>
      <c r="C6" s="637" t="s">
        <v>1771</v>
      </c>
      <c r="D6" s="26">
        <v>25</v>
      </c>
      <c r="E6" s="27">
        <v>13</v>
      </c>
      <c r="F6" s="27">
        <v>13</v>
      </c>
      <c r="G6" s="27">
        <v>13</v>
      </c>
      <c r="H6" s="27">
        <v>18.165000000000003</v>
      </c>
      <c r="I6" s="27">
        <v>18.165000000000003</v>
      </c>
      <c r="J6" s="27">
        <f t="shared" ref="J6:J10" si="6">I6</f>
        <v>18.165000000000003</v>
      </c>
      <c r="K6" s="27">
        <f t="shared" si="0"/>
        <v>18.165000000000003</v>
      </c>
      <c r="L6" s="27">
        <f t="shared" si="1"/>
        <v>18.165000000000003</v>
      </c>
      <c r="M6" s="27">
        <f t="shared" si="2"/>
        <v>19.981500000000004</v>
      </c>
      <c r="N6" s="36">
        <f t="shared" si="3"/>
        <v>19.981500000000004</v>
      </c>
      <c r="O6" s="36">
        <f t="shared" si="4"/>
        <v>19.981500000000004</v>
      </c>
      <c r="P6" s="36">
        <f t="shared" si="5"/>
        <v>19.981500000000004</v>
      </c>
      <c r="Q6" s="213">
        <f t="shared" ref="Q6:Q10" si="7">P6</f>
        <v>19.981500000000004</v>
      </c>
      <c r="R6" s="194"/>
    </row>
    <row r="7" spans="1:21" ht="19.5">
      <c r="A7" s="1368" t="s">
        <v>2983</v>
      </c>
      <c r="B7" s="312" t="s">
        <v>382</v>
      </c>
      <c r="C7" s="637" t="s">
        <v>1771</v>
      </c>
      <c r="D7" s="26">
        <v>30</v>
      </c>
      <c r="E7" s="27">
        <v>16.5</v>
      </c>
      <c r="F7" s="27">
        <v>16.5</v>
      </c>
      <c r="G7" s="27">
        <v>17</v>
      </c>
      <c r="H7" s="27">
        <v>23.1</v>
      </c>
      <c r="I7" s="27">
        <v>23.1</v>
      </c>
      <c r="J7" s="27">
        <f t="shared" si="6"/>
        <v>23.1</v>
      </c>
      <c r="K7" s="27">
        <f t="shared" si="0"/>
        <v>23.1</v>
      </c>
      <c r="L7" s="27">
        <f t="shared" si="1"/>
        <v>23.1</v>
      </c>
      <c r="M7" s="27">
        <f t="shared" si="2"/>
        <v>25.410000000000004</v>
      </c>
      <c r="N7" s="36">
        <f t="shared" si="3"/>
        <v>25.410000000000004</v>
      </c>
      <c r="O7" s="36">
        <f t="shared" si="4"/>
        <v>25.410000000000004</v>
      </c>
      <c r="P7" s="36">
        <f t="shared" si="5"/>
        <v>25.410000000000004</v>
      </c>
      <c r="Q7" s="213">
        <f t="shared" si="7"/>
        <v>25.410000000000004</v>
      </c>
      <c r="R7" s="194"/>
    </row>
    <row r="8" spans="1:21" ht="19.5">
      <c r="A8" s="1368" t="s">
        <v>2984</v>
      </c>
      <c r="B8" s="312" t="s">
        <v>782</v>
      </c>
      <c r="C8" s="637" t="s">
        <v>1771</v>
      </c>
      <c r="D8" s="26">
        <v>40</v>
      </c>
      <c r="E8" s="27">
        <v>21</v>
      </c>
      <c r="F8" s="27">
        <v>21</v>
      </c>
      <c r="G8" s="27">
        <v>22</v>
      </c>
      <c r="H8" s="27">
        <v>34.230000000000004</v>
      </c>
      <c r="I8" s="27">
        <v>34.230000000000004</v>
      </c>
      <c r="J8" s="27">
        <f t="shared" si="6"/>
        <v>34.230000000000004</v>
      </c>
      <c r="K8" s="27">
        <f t="shared" si="0"/>
        <v>34.230000000000004</v>
      </c>
      <c r="L8" s="27">
        <f t="shared" si="1"/>
        <v>34.230000000000004</v>
      </c>
      <c r="M8" s="27">
        <f t="shared" si="2"/>
        <v>37.653000000000006</v>
      </c>
      <c r="N8" s="36">
        <f t="shared" si="3"/>
        <v>37.653000000000006</v>
      </c>
      <c r="O8" s="36">
        <f t="shared" si="4"/>
        <v>37.653000000000006</v>
      </c>
      <c r="P8" s="36">
        <f t="shared" si="5"/>
        <v>37.653000000000006</v>
      </c>
      <c r="Q8" s="213">
        <f t="shared" si="7"/>
        <v>37.653000000000006</v>
      </c>
      <c r="R8" s="194"/>
    </row>
    <row r="9" spans="1:21" ht="19.5">
      <c r="A9" s="1368" t="s">
        <v>2985</v>
      </c>
      <c r="B9" s="312" t="s">
        <v>783</v>
      </c>
      <c r="C9" s="637" t="s">
        <v>1771</v>
      </c>
      <c r="D9" s="26">
        <v>50</v>
      </c>
      <c r="E9" s="27">
        <v>27</v>
      </c>
      <c r="F9" s="27">
        <v>27</v>
      </c>
      <c r="G9" s="27">
        <v>28</v>
      </c>
      <c r="H9" s="27">
        <v>49.56</v>
      </c>
      <c r="I9" s="27">
        <v>49.56</v>
      </c>
      <c r="J9" s="27">
        <f t="shared" si="6"/>
        <v>49.56</v>
      </c>
      <c r="K9" s="27">
        <f t="shared" si="0"/>
        <v>49.56</v>
      </c>
      <c r="L9" s="27">
        <f t="shared" si="1"/>
        <v>49.56</v>
      </c>
      <c r="M9" s="27">
        <f t="shared" si="2"/>
        <v>54.516000000000005</v>
      </c>
      <c r="N9" s="36">
        <f t="shared" si="3"/>
        <v>54.516000000000005</v>
      </c>
      <c r="O9" s="36">
        <f t="shared" si="4"/>
        <v>54.516000000000005</v>
      </c>
      <c r="P9" s="36">
        <f t="shared" si="5"/>
        <v>54.516000000000005</v>
      </c>
      <c r="Q9" s="213">
        <f t="shared" si="7"/>
        <v>54.516000000000005</v>
      </c>
      <c r="R9" s="194"/>
    </row>
    <row r="10" spans="1:21" ht="19.5">
      <c r="A10" s="1368" t="s">
        <v>2986</v>
      </c>
      <c r="B10" s="312" t="s">
        <v>385</v>
      </c>
      <c r="C10" s="637" t="s">
        <v>1771</v>
      </c>
      <c r="D10" s="26">
        <v>60</v>
      </c>
      <c r="E10" s="27">
        <v>37</v>
      </c>
      <c r="F10" s="27">
        <v>37</v>
      </c>
      <c r="G10" s="27">
        <v>38</v>
      </c>
      <c r="H10" s="27">
        <v>68.25</v>
      </c>
      <c r="I10" s="27">
        <v>68.25</v>
      </c>
      <c r="J10" s="27">
        <f t="shared" si="6"/>
        <v>68.25</v>
      </c>
      <c r="K10" s="27">
        <f t="shared" si="0"/>
        <v>68.25</v>
      </c>
      <c r="L10" s="27">
        <f t="shared" si="1"/>
        <v>68.25</v>
      </c>
      <c r="M10" s="27">
        <f t="shared" si="2"/>
        <v>75.075000000000003</v>
      </c>
      <c r="N10" s="36">
        <f t="shared" si="3"/>
        <v>75.075000000000003</v>
      </c>
      <c r="O10" s="36">
        <f t="shared" si="4"/>
        <v>75.075000000000003</v>
      </c>
      <c r="P10" s="36">
        <f t="shared" si="5"/>
        <v>75.075000000000003</v>
      </c>
      <c r="Q10" s="213">
        <f t="shared" si="7"/>
        <v>75.075000000000003</v>
      </c>
      <c r="R10" s="194"/>
    </row>
    <row r="11" spans="1:21" ht="19.5">
      <c r="A11" s="1369">
        <v>1.2</v>
      </c>
      <c r="B11" s="837" t="s">
        <v>2692</v>
      </c>
      <c r="C11" s="853"/>
      <c r="D11" s="621"/>
      <c r="E11" s="622"/>
      <c r="F11" s="622"/>
      <c r="G11" s="622"/>
      <c r="H11" s="622"/>
      <c r="I11" s="603"/>
      <c r="J11" s="603"/>
      <c r="K11" s="603"/>
      <c r="L11" s="603"/>
      <c r="M11" s="603"/>
      <c r="N11" s="695"/>
      <c r="O11" s="695"/>
      <c r="P11" s="695"/>
      <c r="Q11" s="1260"/>
      <c r="R11" s="658"/>
    </row>
    <row r="12" spans="1:21" ht="19.5">
      <c r="A12" s="1368" t="s">
        <v>2987</v>
      </c>
      <c r="B12" s="312" t="s">
        <v>780</v>
      </c>
      <c r="C12" s="637" t="s">
        <v>1771</v>
      </c>
      <c r="D12" s="26">
        <v>16</v>
      </c>
      <c r="E12" s="27">
        <v>12</v>
      </c>
      <c r="F12" s="27">
        <v>12</v>
      </c>
      <c r="G12" s="27">
        <v>12</v>
      </c>
      <c r="H12" s="27">
        <v>10.5</v>
      </c>
      <c r="I12" s="27">
        <v>10.5</v>
      </c>
      <c r="J12" s="27">
        <f>I12</f>
        <v>10.5</v>
      </c>
      <c r="K12" s="27">
        <f t="shared" si="0"/>
        <v>10.5</v>
      </c>
      <c r="L12" s="27">
        <f t="shared" si="1"/>
        <v>10.5</v>
      </c>
      <c r="M12" s="27">
        <f t="shared" si="2"/>
        <v>11.55</v>
      </c>
      <c r="N12" s="36">
        <f t="shared" si="3"/>
        <v>11.55</v>
      </c>
      <c r="O12" s="36">
        <f t="shared" si="4"/>
        <v>11.55</v>
      </c>
      <c r="P12" s="36">
        <f t="shared" si="5"/>
        <v>11.55</v>
      </c>
      <c r="Q12" s="213">
        <f>P12</f>
        <v>11.55</v>
      </c>
      <c r="R12" s="194"/>
      <c r="S12" s="275" t="s">
        <v>2690</v>
      </c>
      <c r="T12" s="257"/>
    </row>
    <row r="13" spans="1:21" ht="19.5">
      <c r="A13" s="1368" t="s">
        <v>2988</v>
      </c>
      <c r="B13" s="312" t="s">
        <v>382</v>
      </c>
      <c r="C13" s="637" t="s">
        <v>1771</v>
      </c>
      <c r="D13" s="26">
        <v>25</v>
      </c>
      <c r="E13" s="27">
        <v>20</v>
      </c>
      <c r="F13" s="27">
        <v>20</v>
      </c>
      <c r="G13" s="27">
        <v>21</v>
      </c>
      <c r="H13" s="27">
        <v>21</v>
      </c>
      <c r="I13" s="27">
        <v>21</v>
      </c>
      <c r="J13" s="27">
        <f>I13</f>
        <v>21</v>
      </c>
      <c r="K13" s="27">
        <f t="shared" si="0"/>
        <v>21</v>
      </c>
      <c r="L13" s="27">
        <f t="shared" si="1"/>
        <v>21</v>
      </c>
      <c r="M13" s="27">
        <f t="shared" si="2"/>
        <v>23.1</v>
      </c>
      <c r="N13" s="36">
        <f t="shared" si="3"/>
        <v>23.1</v>
      </c>
      <c r="O13" s="36">
        <f t="shared" si="4"/>
        <v>23.1</v>
      </c>
      <c r="P13" s="36">
        <f t="shared" si="5"/>
        <v>23.1</v>
      </c>
      <c r="Q13" s="213">
        <f>P13</f>
        <v>23.1</v>
      </c>
      <c r="R13" s="194"/>
    </row>
    <row r="14" spans="1:21" ht="19.5">
      <c r="A14" s="1369">
        <v>1.3</v>
      </c>
      <c r="B14" s="837" t="s">
        <v>2693</v>
      </c>
      <c r="C14" s="853"/>
      <c r="D14" s="621"/>
      <c r="E14" s="622"/>
      <c r="F14" s="622"/>
      <c r="G14" s="622"/>
      <c r="H14" s="622"/>
      <c r="I14" s="603"/>
      <c r="J14" s="603"/>
      <c r="K14" s="603"/>
      <c r="L14" s="603"/>
      <c r="M14" s="603"/>
      <c r="N14" s="695"/>
      <c r="O14" s="695"/>
      <c r="P14" s="695"/>
      <c r="Q14" s="1260"/>
      <c r="R14" s="658"/>
      <c r="S14" s="1018" t="s">
        <v>2689</v>
      </c>
      <c r="T14" s="1018" t="s">
        <v>2691</v>
      </c>
      <c r="U14" s="1018"/>
    </row>
    <row r="15" spans="1:21" ht="19.5">
      <c r="A15" s="1368" t="s">
        <v>2989</v>
      </c>
      <c r="B15" s="311" t="s">
        <v>784</v>
      </c>
      <c r="C15" s="637" t="s">
        <v>1787</v>
      </c>
      <c r="D15" s="26">
        <v>30</v>
      </c>
      <c r="E15" s="27">
        <v>12</v>
      </c>
      <c r="F15" s="27">
        <v>12</v>
      </c>
      <c r="G15" s="27">
        <v>13</v>
      </c>
      <c r="H15" s="27">
        <v>14.700000000000001</v>
      </c>
      <c r="I15" s="27">
        <v>14.700000000000001</v>
      </c>
      <c r="J15" s="27">
        <f>I15</f>
        <v>14.700000000000001</v>
      </c>
      <c r="K15" s="27">
        <f t="shared" si="0"/>
        <v>14.700000000000001</v>
      </c>
      <c r="L15" s="27">
        <f t="shared" si="1"/>
        <v>14.700000000000001</v>
      </c>
      <c r="M15" s="27">
        <f t="shared" si="2"/>
        <v>16.170000000000002</v>
      </c>
      <c r="N15" s="36">
        <f t="shared" si="3"/>
        <v>16.170000000000002</v>
      </c>
      <c r="O15" s="36">
        <f t="shared" si="4"/>
        <v>16.170000000000002</v>
      </c>
      <c r="P15" s="36">
        <f>O15</f>
        <v>16.170000000000002</v>
      </c>
      <c r="Q15" s="213">
        <f>P15</f>
        <v>16.170000000000002</v>
      </c>
      <c r="R15" s="194"/>
      <c r="S15" s="1018">
        <v>25</v>
      </c>
      <c r="T15" s="1018">
        <v>12.5</v>
      </c>
      <c r="U15" s="1370">
        <f>(S15-T15)/S15</f>
        <v>0.5</v>
      </c>
    </row>
    <row r="16" spans="1:21" ht="19.5">
      <c r="A16" s="1368" t="s">
        <v>2990</v>
      </c>
      <c r="B16" s="311" t="s">
        <v>785</v>
      </c>
      <c r="C16" s="637" t="s">
        <v>1787</v>
      </c>
      <c r="D16" s="26">
        <v>50</v>
      </c>
      <c r="E16" s="27">
        <v>15</v>
      </c>
      <c r="F16" s="27">
        <v>15</v>
      </c>
      <c r="G16" s="27">
        <v>16</v>
      </c>
      <c r="H16" s="27">
        <v>19.95</v>
      </c>
      <c r="I16" s="27">
        <v>19.95</v>
      </c>
      <c r="J16" s="27">
        <f t="shared" ref="J16:J19" si="8">I16</f>
        <v>19.95</v>
      </c>
      <c r="K16" s="27">
        <f t="shared" si="0"/>
        <v>19.95</v>
      </c>
      <c r="L16" s="27">
        <f t="shared" si="1"/>
        <v>19.95</v>
      </c>
      <c r="M16" s="27">
        <f t="shared" si="2"/>
        <v>21.945</v>
      </c>
      <c r="N16" s="36">
        <f t="shared" si="3"/>
        <v>21.945</v>
      </c>
      <c r="O16" s="36">
        <f t="shared" si="4"/>
        <v>21.945</v>
      </c>
      <c r="P16" s="36">
        <f t="shared" ref="P16:P19" si="9">O16</f>
        <v>21.945</v>
      </c>
      <c r="Q16" s="213">
        <f t="shared" ref="Q16:Q19" si="10">P16</f>
        <v>21.945</v>
      </c>
      <c r="R16" s="194"/>
      <c r="S16" s="1018">
        <v>33.75</v>
      </c>
      <c r="T16" s="1018">
        <v>16.87</v>
      </c>
      <c r="U16" s="1370">
        <f t="shared" ref="U16:U18" si="11">(S16-T16)/S16</f>
        <v>0.50014814814814812</v>
      </c>
    </row>
    <row r="17" spans="1:21" ht="19.5">
      <c r="A17" s="1368" t="s">
        <v>2991</v>
      </c>
      <c r="B17" s="311" t="s">
        <v>786</v>
      </c>
      <c r="C17" s="637" t="s">
        <v>1787</v>
      </c>
      <c r="D17" s="26">
        <v>70</v>
      </c>
      <c r="E17" s="27">
        <v>28</v>
      </c>
      <c r="F17" s="27">
        <v>28</v>
      </c>
      <c r="G17" s="27">
        <v>29</v>
      </c>
      <c r="H17" s="27">
        <v>35.700000000000003</v>
      </c>
      <c r="I17" s="27">
        <v>35.700000000000003</v>
      </c>
      <c r="J17" s="27">
        <f t="shared" si="8"/>
        <v>35.700000000000003</v>
      </c>
      <c r="K17" s="27">
        <f t="shared" si="0"/>
        <v>35.700000000000003</v>
      </c>
      <c r="L17" s="27">
        <f t="shared" si="1"/>
        <v>35.700000000000003</v>
      </c>
      <c r="M17" s="27">
        <f t="shared" si="2"/>
        <v>39.270000000000003</v>
      </c>
      <c r="N17" s="36">
        <f t="shared" si="3"/>
        <v>39.270000000000003</v>
      </c>
      <c r="O17" s="36">
        <f t="shared" si="4"/>
        <v>39.270000000000003</v>
      </c>
      <c r="P17" s="36">
        <f t="shared" si="9"/>
        <v>39.270000000000003</v>
      </c>
      <c r="Q17" s="213">
        <f t="shared" si="10"/>
        <v>39.270000000000003</v>
      </c>
      <c r="R17" s="194"/>
      <c r="S17" s="1018">
        <v>64.2</v>
      </c>
      <c r="T17" s="1018">
        <v>32.1</v>
      </c>
      <c r="U17" s="1370">
        <f t="shared" si="11"/>
        <v>0.5</v>
      </c>
    </row>
    <row r="18" spans="1:21" ht="19.5">
      <c r="A18" s="1368" t="s">
        <v>2992</v>
      </c>
      <c r="B18" s="311" t="s">
        <v>787</v>
      </c>
      <c r="C18" s="637" t="s">
        <v>1787</v>
      </c>
      <c r="D18" s="26">
        <v>90</v>
      </c>
      <c r="E18" s="27">
        <v>40</v>
      </c>
      <c r="F18" s="27">
        <v>40</v>
      </c>
      <c r="G18" s="27">
        <v>41</v>
      </c>
      <c r="H18" s="27">
        <v>36.75</v>
      </c>
      <c r="I18" s="27">
        <v>36.75</v>
      </c>
      <c r="J18" s="27">
        <f t="shared" si="8"/>
        <v>36.75</v>
      </c>
      <c r="K18" s="27">
        <f t="shared" si="0"/>
        <v>36.75</v>
      </c>
      <c r="L18" s="27">
        <f t="shared" si="1"/>
        <v>36.75</v>
      </c>
      <c r="M18" s="27">
        <f t="shared" si="2"/>
        <v>40.425000000000004</v>
      </c>
      <c r="N18" s="36">
        <f t="shared" si="3"/>
        <v>40.425000000000004</v>
      </c>
      <c r="O18" s="36">
        <f t="shared" si="4"/>
        <v>40.425000000000004</v>
      </c>
      <c r="P18" s="36">
        <f t="shared" si="9"/>
        <v>40.425000000000004</v>
      </c>
      <c r="Q18" s="213">
        <f t="shared" si="10"/>
        <v>40.425000000000004</v>
      </c>
      <c r="R18" s="194"/>
      <c r="S18" s="1018">
        <v>86.67</v>
      </c>
      <c r="T18" s="1018">
        <v>43.4</v>
      </c>
      <c r="U18" s="1370">
        <f t="shared" si="11"/>
        <v>0.49925002884504444</v>
      </c>
    </row>
    <row r="19" spans="1:21" ht="19.5">
      <c r="A19" s="1368" t="s">
        <v>2993</v>
      </c>
      <c r="B19" s="311" t="s">
        <v>788</v>
      </c>
      <c r="C19" s="637" t="s">
        <v>1787</v>
      </c>
      <c r="D19" s="26">
        <v>100</v>
      </c>
      <c r="E19" s="27">
        <v>56</v>
      </c>
      <c r="F19" s="27">
        <v>56</v>
      </c>
      <c r="G19" s="27">
        <v>58</v>
      </c>
      <c r="H19" s="27">
        <v>66.150000000000006</v>
      </c>
      <c r="I19" s="27">
        <v>66.150000000000006</v>
      </c>
      <c r="J19" s="27">
        <f t="shared" si="8"/>
        <v>66.150000000000006</v>
      </c>
      <c r="K19" s="27">
        <f t="shared" si="0"/>
        <v>66.150000000000006</v>
      </c>
      <c r="L19" s="27">
        <f t="shared" si="1"/>
        <v>66.150000000000006</v>
      </c>
      <c r="M19" s="27">
        <f t="shared" si="2"/>
        <v>72.765000000000015</v>
      </c>
      <c r="N19" s="36">
        <f t="shared" si="3"/>
        <v>72.765000000000015</v>
      </c>
      <c r="O19" s="36">
        <f t="shared" si="4"/>
        <v>72.765000000000015</v>
      </c>
      <c r="P19" s="36">
        <f t="shared" si="9"/>
        <v>72.765000000000015</v>
      </c>
      <c r="Q19" s="213">
        <f t="shared" si="10"/>
        <v>72.765000000000015</v>
      </c>
      <c r="R19" s="194"/>
    </row>
    <row r="20" spans="1:21" ht="19.5">
      <c r="A20" s="1369">
        <v>1.4</v>
      </c>
      <c r="B20" s="837" t="s">
        <v>2694</v>
      </c>
      <c r="C20" s="853"/>
      <c r="D20" s="621"/>
      <c r="E20" s="622"/>
      <c r="F20" s="622"/>
      <c r="G20" s="622"/>
      <c r="H20" s="622"/>
      <c r="I20" s="603"/>
      <c r="J20" s="603"/>
      <c r="K20" s="603"/>
      <c r="L20" s="603"/>
      <c r="M20" s="603"/>
      <c r="N20" s="695"/>
      <c r="O20" s="695"/>
      <c r="P20" s="695"/>
      <c r="Q20" s="1260"/>
      <c r="R20" s="658"/>
    </row>
    <row r="21" spans="1:21" ht="19.5">
      <c r="A21" s="1368" t="s">
        <v>2994</v>
      </c>
      <c r="B21" s="310" t="s">
        <v>784</v>
      </c>
      <c r="C21" s="637" t="s">
        <v>1787</v>
      </c>
      <c r="D21" s="26">
        <v>11</v>
      </c>
      <c r="E21" s="27">
        <v>15</v>
      </c>
      <c r="F21" s="27">
        <v>15</v>
      </c>
      <c r="G21" s="27">
        <v>16</v>
      </c>
      <c r="H21" s="27">
        <v>16.8</v>
      </c>
      <c r="I21" s="27">
        <v>16.8</v>
      </c>
      <c r="J21" s="27">
        <f>I21</f>
        <v>16.8</v>
      </c>
      <c r="K21" s="27">
        <f t="shared" si="0"/>
        <v>16.8</v>
      </c>
      <c r="L21" s="27">
        <f t="shared" si="1"/>
        <v>16.8</v>
      </c>
      <c r="M21" s="27">
        <f t="shared" si="2"/>
        <v>18.480000000000004</v>
      </c>
      <c r="N21" s="36">
        <f t="shared" si="3"/>
        <v>18.480000000000004</v>
      </c>
      <c r="O21" s="36">
        <f t="shared" si="4"/>
        <v>18.480000000000004</v>
      </c>
      <c r="P21" s="36">
        <f>O21</f>
        <v>18.480000000000004</v>
      </c>
      <c r="Q21" s="213">
        <f>P21</f>
        <v>18.480000000000004</v>
      </c>
      <c r="R21" s="194"/>
    </row>
    <row r="22" spans="1:21" ht="19.5">
      <c r="A22" s="1368" t="s">
        <v>2995</v>
      </c>
      <c r="B22" s="310" t="s">
        <v>785</v>
      </c>
      <c r="C22" s="637" t="s">
        <v>1787</v>
      </c>
      <c r="D22" s="26">
        <v>16</v>
      </c>
      <c r="E22" s="27">
        <v>20</v>
      </c>
      <c r="F22" s="27">
        <v>20</v>
      </c>
      <c r="G22" s="27">
        <v>21</v>
      </c>
      <c r="H22" s="27">
        <v>32.550000000000004</v>
      </c>
      <c r="I22" s="27">
        <v>32.550000000000004</v>
      </c>
      <c r="J22" s="27">
        <f t="shared" ref="J22:J24" si="12">I22</f>
        <v>32.550000000000004</v>
      </c>
      <c r="K22" s="27">
        <f t="shared" si="0"/>
        <v>32.550000000000004</v>
      </c>
      <c r="L22" s="27">
        <f t="shared" si="1"/>
        <v>32.550000000000004</v>
      </c>
      <c r="M22" s="27">
        <f t="shared" si="2"/>
        <v>35.805000000000007</v>
      </c>
      <c r="N22" s="36">
        <f t="shared" si="3"/>
        <v>35.805000000000007</v>
      </c>
      <c r="O22" s="36">
        <f t="shared" si="4"/>
        <v>35.805000000000007</v>
      </c>
      <c r="P22" s="36">
        <f t="shared" ref="P22:P84" si="13">O22</f>
        <v>35.805000000000007</v>
      </c>
      <c r="Q22" s="213">
        <f t="shared" ref="Q22:Q40" si="14">P22</f>
        <v>35.805000000000007</v>
      </c>
      <c r="R22" s="194"/>
    </row>
    <row r="23" spans="1:21" ht="19.5">
      <c r="A23" s="1368" t="s">
        <v>2996</v>
      </c>
      <c r="B23" s="310" t="s">
        <v>786</v>
      </c>
      <c r="C23" s="637" t="s">
        <v>1787</v>
      </c>
      <c r="D23" s="26">
        <v>21</v>
      </c>
      <c r="E23" s="27">
        <v>26</v>
      </c>
      <c r="F23" s="27">
        <v>26</v>
      </c>
      <c r="G23" s="27">
        <v>27</v>
      </c>
      <c r="H23" s="27">
        <v>44.625</v>
      </c>
      <c r="I23" s="27">
        <v>44.625</v>
      </c>
      <c r="J23" s="27">
        <f t="shared" si="12"/>
        <v>44.625</v>
      </c>
      <c r="K23" s="27">
        <f t="shared" si="0"/>
        <v>44.625</v>
      </c>
      <c r="L23" s="27">
        <f t="shared" si="1"/>
        <v>44.625</v>
      </c>
      <c r="M23" s="27">
        <f t="shared" si="2"/>
        <v>49.087500000000006</v>
      </c>
      <c r="N23" s="36">
        <f t="shared" si="3"/>
        <v>49.087500000000006</v>
      </c>
      <c r="O23" s="36">
        <f t="shared" si="4"/>
        <v>49.087500000000006</v>
      </c>
      <c r="P23" s="36">
        <f t="shared" si="13"/>
        <v>49.087500000000006</v>
      </c>
      <c r="Q23" s="213">
        <f t="shared" si="14"/>
        <v>49.087500000000006</v>
      </c>
      <c r="R23" s="194"/>
    </row>
    <row r="24" spans="1:21" ht="19.5">
      <c r="A24" s="1368" t="s">
        <v>2997</v>
      </c>
      <c r="B24" s="310" t="s">
        <v>787</v>
      </c>
      <c r="C24" s="637" t="s">
        <v>1787</v>
      </c>
      <c r="D24" s="26">
        <v>50</v>
      </c>
      <c r="E24" s="27">
        <v>60</v>
      </c>
      <c r="F24" s="27">
        <v>60</v>
      </c>
      <c r="G24" s="27">
        <v>62</v>
      </c>
      <c r="H24" s="27">
        <v>69.720000000000013</v>
      </c>
      <c r="I24" s="27">
        <v>69.720000000000013</v>
      </c>
      <c r="J24" s="27">
        <f t="shared" si="12"/>
        <v>69.720000000000013</v>
      </c>
      <c r="K24" s="27">
        <f t="shared" si="0"/>
        <v>69.720000000000013</v>
      </c>
      <c r="L24" s="27">
        <f t="shared" si="1"/>
        <v>69.720000000000013</v>
      </c>
      <c r="M24" s="27">
        <f t="shared" si="2"/>
        <v>76.692000000000021</v>
      </c>
      <c r="N24" s="36">
        <f t="shared" si="3"/>
        <v>76.692000000000021</v>
      </c>
      <c r="O24" s="36">
        <f t="shared" si="4"/>
        <v>76.692000000000021</v>
      </c>
      <c r="P24" s="36">
        <f t="shared" si="13"/>
        <v>76.692000000000021</v>
      </c>
      <c r="Q24" s="213">
        <f t="shared" si="14"/>
        <v>76.692000000000021</v>
      </c>
      <c r="R24" s="194"/>
    </row>
    <row r="25" spans="1:21" ht="19.5">
      <c r="A25" s="1368" t="s">
        <v>2998</v>
      </c>
      <c r="B25" s="310" t="s">
        <v>788</v>
      </c>
      <c r="C25" s="637" t="s">
        <v>1787</v>
      </c>
      <c r="D25" s="26">
        <v>75</v>
      </c>
      <c r="E25" s="27">
        <v>85</v>
      </c>
      <c r="F25" s="27">
        <v>85</v>
      </c>
      <c r="G25" s="27">
        <v>88</v>
      </c>
      <c r="H25" s="27"/>
      <c r="I25" s="27"/>
      <c r="J25" s="27"/>
      <c r="K25" s="27"/>
      <c r="L25" s="27"/>
      <c r="M25" s="27"/>
      <c r="N25" s="855" t="s">
        <v>2160</v>
      </c>
      <c r="O25" s="855" t="s">
        <v>2160</v>
      </c>
      <c r="P25" s="36">
        <v>85</v>
      </c>
      <c r="Q25" s="213">
        <f t="shared" si="14"/>
        <v>85</v>
      </c>
      <c r="R25" s="194"/>
    </row>
    <row r="26" spans="1:21" ht="18">
      <c r="A26" s="65">
        <v>2</v>
      </c>
      <c r="B26" s="837" t="s">
        <v>2702</v>
      </c>
      <c r="C26" s="637" t="s">
        <v>1787</v>
      </c>
      <c r="D26" s="26">
        <v>18</v>
      </c>
      <c r="E26" s="27">
        <v>25</v>
      </c>
      <c r="F26" s="27">
        <v>25</v>
      </c>
      <c r="G26" s="27">
        <v>26</v>
      </c>
      <c r="H26" s="27">
        <v>31.5</v>
      </c>
      <c r="I26" s="27">
        <v>31.5</v>
      </c>
      <c r="J26" s="27">
        <f t="shared" ref="J26:J40" si="15">I26</f>
        <v>31.5</v>
      </c>
      <c r="K26" s="27">
        <f t="shared" si="0"/>
        <v>31.5</v>
      </c>
      <c r="L26" s="27">
        <f t="shared" si="1"/>
        <v>31.5</v>
      </c>
      <c r="M26" s="27">
        <f t="shared" si="2"/>
        <v>34.650000000000006</v>
      </c>
      <c r="N26" s="36">
        <f t="shared" si="3"/>
        <v>34.650000000000006</v>
      </c>
      <c r="O26" s="36">
        <f t="shared" si="4"/>
        <v>34.650000000000006</v>
      </c>
      <c r="P26" s="36">
        <f t="shared" si="13"/>
        <v>34.650000000000006</v>
      </c>
      <c r="Q26" s="213">
        <f t="shared" si="14"/>
        <v>34.650000000000006</v>
      </c>
      <c r="R26" s="194"/>
    </row>
    <row r="27" spans="1:21" ht="18">
      <c r="A27" s="65">
        <v>3</v>
      </c>
      <c r="B27" s="837" t="s">
        <v>2703</v>
      </c>
      <c r="C27" s="637" t="s">
        <v>1787</v>
      </c>
      <c r="D27" s="26">
        <v>20</v>
      </c>
      <c r="E27" s="27">
        <v>27</v>
      </c>
      <c r="F27" s="27">
        <v>27</v>
      </c>
      <c r="G27" s="27">
        <v>28</v>
      </c>
      <c r="H27" s="27">
        <v>33.6</v>
      </c>
      <c r="I27" s="27">
        <v>33.6</v>
      </c>
      <c r="J27" s="27">
        <f t="shared" si="15"/>
        <v>33.6</v>
      </c>
      <c r="K27" s="27">
        <f t="shared" si="0"/>
        <v>33.6</v>
      </c>
      <c r="L27" s="27">
        <f t="shared" si="1"/>
        <v>33.6</v>
      </c>
      <c r="M27" s="27">
        <f t="shared" si="2"/>
        <v>36.960000000000008</v>
      </c>
      <c r="N27" s="36">
        <f t="shared" si="3"/>
        <v>36.960000000000008</v>
      </c>
      <c r="O27" s="36">
        <f t="shared" si="4"/>
        <v>36.960000000000008</v>
      </c>
      <c r="P27" s="36">
        <f t="shared" si="13"/>
        <v>36.960000000000008</v>
      </c>
      <c r="Q27" s="213">
        <f t="shared" si="14"/>
        <v>36.960000000000008</v>
      </c>
      <c r="R27" s="194"/>
    </row>
    <row r="28" spans="1:21" ht="18">
      <c r="A28" s="65">
        <v>4</v>
      </c>
      <c r="B28" s="837" t="s">
        <v>2704</v>
      </c>
      <c r="C28" s="637" t="s">
        <v>1787</v>
      </c>
      <c r="D28" s="26">
        <v>19</v>
      </c>
      <c r="E28" s="27">
        <v>25</v>
      </c>
      <c r="F28" s="27">
        <v>25</v>
      </c>
      <c r="G28" s="27">
        <v>26</v>
      </c>
      <c r="H28" s="27">
        <v>32.550000000000004</v>
      </c>
      <c r="I28" s="27">
        <v>32.550000000000004</v>
      </c>
      <c r="J28" s="27">
        <f t="shared" si="15"/>
        <v>32.550000000000004</v>
      </c>
      <c r="K28" s="27">
        <f t="shared" si="0"/>
        <v>32.550000000000004</v>
      </c>
      <c r="L28" s="27">
        <f t="shared" si="1"/>
        <v>32.550000000000004</v>
      </c>
      <c r="M28" s="27">
        <f t="shared" si="2"/>
        <v>35.805000000000007</v>
      </c>
      <c r="N28" s="36">
        <f t="shared" si="3"/>
        <v>35.805000000000007</v>
      </c>
      <c r="O28" s="36">
        <f t="shared" si="4"/>
        <v>35.805000000000007</v>
      </c>
      <c r="P28" s="36">
        <f t="shared" si="13"/>
        <v>35.805000000000007</v>
      </c>
      <c r="Q28" s="213">
        <f t="shared" si="14"/>
        <v>35.805000000000007</v>
      </c>
      <c r="R28" s="194"/>
    </row>
    <row r="29" spans="1:21" ht="18">
      <c r="A29" s="65">
        <v>5</v>
      </c>
      <c r="B29" s="837" t="s">
        <v>2707</v>
      </c>
      <c r="C29" s="637" t="s">
        <v>1787</v>
      </c>
      <c r="D29" s="26">
        <v>15</v>
      </c>
      <c r="E29" s="27">
        <v>25</v>
      </c>
      <c r="F29" s="27">
        <v>25</v>
      </c>
      <c r="G29" s="27">
        <v>26</v>
      </c>
      <c r="H29" s="27">
        <v>30.450000000000003</v>
      </c>
      <c r="I29" s="27">
        <v>30.450000000000003</v>
      </c>
      <c r="J29" s="27">
        <f t="shared" si="15"/>
        <v>30.450000000000003</v>
      </c>
      <c r="K29" s="27">
        <f t="shared" si="0"/>
        <v>30.450000000000003</v>
      </c>
      <c r="L29" s="27">
        <f t="shared" si="1"/>
        <v>30.450000000000003</v>
      </c>
      <c r="M29" s="27">
        <f t="shared" si="2"/>
        <v>33.495000000000005</v>
      </c>
      <c r="N29" s="36">
        <f t="shared" si="3"/>
        <v>33.495000000000005</v>
      </c>
      <c r="O29" s="36">
        <f t="shared" si="4"/>
        <v>33.495000000000005</v>
      </c>
      <c r="P29" s="36">
        <f t="shared" si="13"/>
        <v>33.495000000000005</v>
      </c>
      <c r="Q29" s="213">
        <f t="shared" si="14"/>
        <v>33.495000000000005</v>
      </c>
      <c r="R29" s="194"/>
    </row>
    <row r="30" spans="1:21" ht="18">
      <c r="A30" s="65">
        <v>6</v>
      </c>
      <c r="B30" s="837" t="s">
        <v>2705</v>
      </c>
      <c r="C30" s="637" t="s">
        <v>1787</v>
      </c>
      <c r="D30" s="26">
        <v>215</v>
      </c>
      <c r="E30" s="27">
        <v>215</v>
      </c>
      <c r="F30" s="27">
        <v>215</v>
      </c>
      <c r="G30" s="27">
        <v>223</v>
      </c>
      <c r="H30" s="27">
        <v>252</v>
      </c>
      <c r="I30" s="27">
        <v>252</v>
      </c>
      <c r="J30" s="27">
        <f t="shared" si="15"/>
        <v>252</v>
      </c>
      <c r="K30" s="27">
        <f t="shared" si="0"/>
        <v>252</v>
      </c>
      <c r="L30" s="27">
        <f t="shared" si="1"/>
        <v>252</v>
      </c>
      <c r="M30" s="27">
        <f t="shared" si="2"/>
        <v>277.20000000000005</v>
      </c>
      <c r="N30" s="36">
        <f t="shared" si="3"/>
        <v>277.20000000000005</v>
      </c>
      <c r="O30" s="36">
        <f t="shared" si="4"/>
        <v>277.20000000000005</v>
      </c>
      <c r="P30" s="36">
        <f t="shared" si="13"/>
        <v>277.20000000000005</v>
      </c>
      <c r="Q30" s="213">
        <f t="shared" si="14"/>
        <v>277.20000000000005</v>
      </c>
      <c r="R30" s="194"/>
    </row>
    <row r="31" spans="1:21" ht="18">
      <c r="A31" s="65">
        <v>7</v>
      </c>
      <c r="B31" s="837" t="s">
        <v>2706</v>
      </c>
      <c r="C31" s="637" t="s">
        <v>1787</v>
      </c>
      <c r="D31" s="26">
        <v>140</v>
      </c>
      <c r="E31" s="27">
        <v>200</v>
      </c>
      <c r="F31" s="27">
        <v>200</v>
      </c>
      <c r="G31" s="27">
        <v>207</v>
      </c>
      <c r="H31" s="27">
        <v>199.5</v>
      </c>
      <c r="I31" s="27">
        <v>199.5</v>
      </c>
      <c r="J31" s="27">
        <f t="shared" si="15"/>
        <v>199.5</v>
      </c>
      <c r="K31" s="27">
        <f t="shared" si="0"/>
        <v>199.5</v>
      </c>
      <c r="L31" s="27">
        <f t="shared" si="1"/>
        <v>199.5</v>
      </c>
      <c r="M31" s="27">
        <f t="shared" si="2"/>
        <v>219.45000000000002</v>
      </c>
      <c r="N31" s="36">
        <f t="shared" si="3"/>
        <v>219.45000000000002</v>
      </c>
      <c r="O31" s="36">
        <f t="shared" si="4"/>
        <v>219.45000000000002</v>
      </c>
      <c r="P31" s="36">
        <f t="shared" si="13"/>
        <v>219.45000000000002</v>
      </c>
      <c r="Q31" s="213">
        <f t="shared" si="14"/>
        <v>219.45000000000002</v>
      </c>
      <c r="R31" s="194"/>
    </row>
    <row r="32" spans="1:21" ht="18">
      <c r="A32" s="65">
        <v>8</v>
      </c>
      <c r="B32" s="837" t="s">
        <v>2709</v>
      </c>
      <c r="C32" s="637" t="s">
        <v>1787</v>
      </c>
      <c r="D32" s="26">
        <v>35</v>
      </c>
      <c r="E32" s="27">
        <v>40</v>
      </c>
      <c r="F32" s="27">
        <v>40</v>
      </c>
      <c r="G32" s="27">
        <v>41</v>
      </c>
      <c r="H32" s="27">
        <v>42</v>
      </c>
      <c r="I32" s="27">
        <v>42</v>
      </c>
      <c r="J32" s="27">
        <f t="shared" si="15"/>
        <v>42</v>
      </c>
      <c r="K32" s="27">
        <f t="shared" si="0"/>
        <v>42</v>
      </c>
      <c r="L32" s="27">
        <f t="shared" si="1"/>
        <v>42</v>
      </c>
      <c r="M32" s="27">
        <f t="shared" si="2"/>
        <v>46.2</v>
      </c>
      <c r="N32" s="36">
        <f t="shared" si="3"/>
        <v>46.2</v>
      </c>
      <c r="O32" s="36">
        <f t="shared" si="4"/>
        <v>46.2</v>
      </c>
      <c r="P32" s="36">
        <f t="shared" si="13"/>
        <v>46.2</v>
      </c>
      <c r="Q32" s="213">
        <f t="shared" si="14"/>
        <v>46.2</v>
      </c>
      <c r="R32" s="194"/>
    </row>
    <row r="33" spans="1:18" ht="18">
      <c r="A33" s="65">
        <v>9</v>
      </c>
      <c r="B33" s="837" t="s">
        <v>2708</v>
      </c>
      <c r="C33" s="637" t="s">
        <v>1787</v>
      </c>
      <c r="D33" s="26">
        <v>15</v>
      </c>
      <c r="E33" s="27">
        <v>25</v>
      </c>
      <c r="F33" s="27">
        <v>25</v>
      </c>
      <c r="G33" s="27">
        <v>26</v>
      </c>
      <c r="H33" s="27">
        <v>21</v>
      </c>
      <c r="I33" s="27">
        <v>21</v>
      </c>
      <c r="J33" s="27">
        <f t="shared" si="15"/>
        <v>21</v>
      </c>
      <c r="K33" s="27">
        <f t="shared" si="0"/>
        <v>21</v>
      </c>
      <c r="L33" s="27">
        <f t="shared" si="1"/>
        <v>21</v>
      </c>
      <c r="M33" s="27">
        <f t="shared" si="2"/>
        <v>23.1</v>
      </c>
      <c r="N33" s="36">
        <f t="shared" si="3"/>
        <v>23.1</v>
      </c>
      <c r="O33" s="36">
        <f t="shared" si="4"/>
        <v>23.1</v>
      </c>
      <c r="P33" s="36">
        <f t="shared" si="13"/>
        <v>23.1</v>
      </c>
      <c r="Q33" s="213">
        <f t="shared" si="14"/>
        <v>23.1</v>
      </c>
      <c r="R33" s="194"/>
    </row>
    <row r="34" spans="1:18" ht="18">
      <c r="A34" s="65">
        <v>10</v>
      </c>
      <c r="B34" s="837" t="s">
        <v>2710</v>
      </c>
      <c r="C34" s="637" t="s">
        <v>1787</v>
      </c>
      <c r="D34" s="26">
        <v>300</v>
      </c>
      <c r="E34" s="27">
        <v>400</v>
      </c>
      <c r="F34" s="27">
        <v>400</v>
      </c>
      <c r="G34" s="27">
        <v>400</v>
      </c>
      <c r="H34" s="27">
        <v>325.5</v>
      </c>
      <c r="I34" s="27">
        <v>325.5</v>
      </c>
      <c r="J34" s="27">
        <f t="shared" si="15"/>
        <v>325.5</v>
      </c>
      <c r="K34" s="27">
        <f t="shared" si="0"/>
        <v>325.5</v>
      </c>
      <c r="L34" s="27">
        <f t="shared" si="1"/>
        <v>325.5</v>
      </c>
      <c r="M34" s="27">
        <f t="shared" si="2"/>
        <v>358.05</v>
      </c>
      <c r="N34" s="36">
        <f t="shared" si="3"/>
        <v>358.05</v>
      </c>
      <c r="O34" s="36">
        <f t="shared" si="4"/>
        <v>358.05</v>
      </c>
      <c r="P34" s="36">
        <f t="shared" si="13"/>
        <v>358.05</v>
      </c>
      <c r="Q34" s="213">
        <f t="shared" si="14"/>
        <v>358.05</v>
      </c>
      <c r="R34" s="194"/>
    </row>
    <row r="35" spans="1:18" ht="18">
      <c r="A35" s="65">
        <v>11</v>
      </c>
      <c r="B35" s="837" t="s">
        <v>2711</v>
      </c>
      <c r="C35" s="637" t="s">
        <v>1787</v>
      </c>
      <c r="D35" s="26">
        <v>300</v>
      </c>
      <c r="E35" s="27">
        <v>375</v>
      </c>
      <c r="F35" s="27">
        <v>375</v>
      </c>
      <c r="G35" s="27">
        <v>375</v>
      </c>
      <c r="H35" s="27">
        <v>325.5</v>
      </c>
      <c r="I35" s="27">
        <v>325.5</v>
      </c>
      <c r="J35" s="27">
        <f t="shared" si="15"/>
        <v>325.5</v>
      </c>
      <c r="K35" s="27">
        <f t="shared" si="0"/>
        <v>325.5</v>
      </c>
      <c r="L35" s="27">
        <f t="shared" si="1"/>
        <v>325.5</v>
      </c>
      <c r="M35" s="27">
        <f t="shared" si="2"/>
        <v>358.05</v>
      </c>
      <c r="N35" s="36">
        <f t="shared" si="3"/>
        <v>358.05</v>
      </c>
      <c r="O35" s="36">
        <f t="shared" si="4"/>
        <v>358.05</v>
      </c>
      <c r="P35" s="36">
        <f t="shared" si="13"/>
        <v>358.05</v>
      </c>
      <c r="Q35" s="213">
        <f t="shared" si="14"/>
        <v>358.05</v>
      </c>
      <c r="R35" s="194"/>
    </row>
    <row r="36" spans="1:18" ht="18">
      <c r="A36" s="65">
        <v>12</v>
      </c>
      <c r="B36" s="837" t="s">
        <v>2712</v>
      </c>
      <c r="C36" s="637" t="s">
        <v>1787</v>
      </c>
      <c r="D36" s="26">
        <v>105</v>
      </c>
      <c r="E36" s="27">
        <v>125</v>
      </c>
      <c r="F36" s="27">
        <v>125</v>
      </c>
      <c r="G36" s="27">
        <v>125</v>
      </c>
      <c r="H36" s="27">
        <v>78.75</v>
      </c>
      <c r="I36" s="27">
        <v>78.75</v>
      </c>
      <c r="J36" s="27">
        <f t="shared" si="15"/>
        <v>78.75</v>
      </c>
      <c r="K36" s="27">
        <f t="shared" si="0"/>
        <v>78.75</v>
      </c>
      <c r="L36" s="27">
        <f t="shared" si="1"/>
        <v>78.75</v>
      </c>
      <c r="M36" s="27">
        <f t="shared" si="2"/>
        <v>86.625</v>
      </c>
      <c r="N36" s="36">
        <f t="shared" si="3"/>
        <v>86.625</v>
      </c>
      <c r="O36" s="36">
        <f t="shared" si="4"/>
        <v>86.625</v>
      </c>
      <c r="P36" s="36">
        <f t="shared" si="13"/>
        <v>86.625</v>
      </c>
      <c r="Q36" s="213">
        <f t="shared" si="14"/>
        <v>86.625</v>
      </c>
      <c r="R36" s="194"/>
    </row>
    <row r="37" spans="1:18" ht="18">
      <c r="A37" s="65">
        <v>13</v>
      </c>
      <c r="B37" s="837" t="s">
        <v>2713</v>
      </c>
      <c r="C37" s="637" t="s">
        <v>1787</v>
      </c>
      <c r="D37" s="26">
        <v>105</v>
      </c>
      <c r="E37" s="27">
        <v>125</v>
      </c>
      <c r="F37" s="27">
        <v>125</v>
      </c>
      <c r="G37" s="27">
        <v>125</v>
      </c>
      <c r="H37" s="27">
        <v>78.75</v>
      </c>
      <c r="I37" s="27">
        <v>78.75</v>
      </c>
      <c r="J37" s="27">
        <f t="shared" si="15"/>
        <v>78.75</v>
      </c>
      <c r="K37" s="27">
        <f t="shared" si="0"/>
        <v>78.75</v>
      </c>
      <c r="L37" s="27">
        <f t="shared" si="1"/>
        <v>78.75</v>
      </c>
      <c r="M37" s="27">
        <f t="shared" si="2"/>
        <v>86.625</v>
      </c>
      <c r="N37" s="36">
        <f t="shared" si="3"/>
        <v>86.625</v>
      </c>
      <c r="O37" s="36">
        <f t="shared" si="4"/>
        <v>86.625</v>
      </c>
      <c r="P37" s="36">
        <f t="shared" si="13"/>
        <v>86.625</v>
      </c>
      <c r="Q37" s="213">
        <f t="shared" si="14"/>
        <v>86.625</v>
      </c>
      <c r="R37" s="194"/>
    </row>
    <row r="38" spans="1:18" ht="18">
      <c r="A38" s="65">
        <v>14</v>
      </c>
      <c r="B38" s="837" t="s">
        <v>2714</v>
      </c>
      <c r="C38" s="637" t="s">
        <v>1787</v>
      </c>
      <c r="D38" s="26">
        <v>120</v>
      </c>
      <c r="E38" s="27">
        <v>120</v>
      </c>
      <c r="F38" s="27">
        <v>120</v>
      </c>
      <c r="G38" s="27">
        <v>120</v>
      </c>
      <c r="H38" s="27">
        <v>126</v>
      </c>
      <c r="I38" s="27">
        <v>126</v>
      </c>
      <c r="J38" s="27">
        <f t="shared" si="15"/>
        <v>126</v>
      </c>
      <c r="K38" s="27">
        <f t="shared" si="0"/>
        <v>126</v>
      </c>
      <c r="L38" s="27">
        <f t="shared" si="1"/>
        <v>126</v>
      </c>
      <c r="M38" s="27">
        <f t="shared" si="2"/>
        <v>138.60000000000002</v>
      </c>
      <c r="N38" s="36">
        <f t="shared" si="3"/>
        <v>138.60000000000002</v>
      </c>
      <c r="O38" s="36">
        <f t="shared" si="4"/>
        <v>138.60000000000002</v>
      </c>
      <c r="P38" s="36">
        <f t="shared" si="13"/>
        <v>138.60000000000002</v>
      </c>
      <c r="Q38" s="213">
        <f t="shared" si="14"/>
        <v>138.60000000000002</v>
      </c>
      <c r="R38" s="194"/>
    </row>
    <row r="39" spans="1:18" ht="18">
      <c r="A39" s="65">
        <v>15</v>
      </c>
      <c r="B39" s="837" t="s">
        <v>2715</v>
      </c>
      <c r="C39" s="637" t="s">
        <v>1787</v>
      </c>
      <c r="D39" s="26">
        <v>120</v>
      </c>
      <c r="E39" s="27">
        <v>120</v>
      </c>
      <c r="F39" s="27">
        <v>120</v>
      </c>
      <c r="G39" s="27">
        <v>120</v>
      </c>
      <c r="H39" s="27">
        <v>126</v>
      </c>
      <c r="I39" s="27">
        <v>126</v>
      </c>
      <c r="J39" s="27">
        <f t="shared" si="15"/>
        <v>126</v>
      </c>
      <c r="K39" s="27">
        <f t="shared" si="0"/>
        <v>126</v>
      </c>
      <c r="L39" s="27">
        <f t="shared" si="1"/>
        <v>126</v>
      </c>
      <c r="M39" s="27">
        <f t="shared" si="2"/>
        <v>138.60000000000002</v>
      </c>
      <c r="N39" s="36">
        <f t="shared" si="3"/>
        <v>138.60000000000002</v>
      </c>
      <c r="O39" s="36">
        <f t="shared" si="4"/>
        <v>138.60000000000002</v>
      </c>
      <c r="P39" s="36">
        <f t="shared" si="13"/>
        <v>138.60000000000002</v>
      </c>
      <c r="Q39" s="213">
        <f t="shared" si="14"/>
        <v>138.60000000000002</v>
      </c>
      <c r="R39" s="194"/>
    </row>
    <row r="40" spans="1:18" ht="18">
      <c r="A40" s="65">
        <v>16</v>
      </c>
      <c r="B40" s="837" t="s">
        <v>2716</v>
      </c>
      <c r="C40" s="637" t="s">
        <v>1787</v>
      </c>
      <c r="D40" s="26">
        <v>19</v>
      </c>
      <c r="E40" s="27">
        <v>25</v>
      </c>
      <c r="F40" s="27">
        <v>25</v>
      </c>
      <c r="G40" s="27">
        <v>25</v>
      </c>
      <c r="H40" s="27">
        <v>21</v>
      </c>
      <c r="I40" s="27">
        <v>21</v>
      </c>
      <c r="J40" s="27">
        <f t="shared" si="15"/>
        <v>21</v>
      </c>
      <c r="K40" s="27">
        <f t="shared" si="0"/>
        <v>21</v>
      </c>
      <c r="L40" s="27">
        <f t="shared" si="1"/>
        <v>21</v>
      </c>
      <c r="M40" s="27">
        <f t="shared" si="2"/>
        <v>23.1</v>
      </c>
      <c r="N40" s="36">
        <f t="shared" si="3"/>
        <v>23.1</v>
      </c>
      <c r="O40" s="36">
        <f t="shared" si="4"/>
        <v>23.1</v>
      </c>
      <c r="P40" s="36">
        <f t="shared" si="13"/>
        <v>23.1</v>
      </c>
      <c r="Q40" s="213">
        <f t="shared" si="14"/>
        <v>23.1</v>
      </c>
      <c r="R40" s="194"/>
    </row>
    <row r="41" spans="1:18" ht="19.5">
      <c r="A41" s="65">
        <v>17</v>
      </c>
      <c r="B41" s="1356" t="s">
        <v>2664</v>
      </c>
      <c r="C41" s="853"/>
      <c r="D41" s="621"/>
      <c r="E41" s="622"/>
      <c r="F41" s="622"/>
      <c r="G41" s="622"/>
      <c r="H41" s="622"/>
      <c r="I41" s="622"/>
      <c r="J41" s="622"/>
      <c r="K41" s="622"/>
      <c r="L41" s="622"/>
      <c r="M41" s="622"/>
      <c r="N41" s="602"/>
      <c r="O41" s="602"/>
      <c r="P41" s="806"/>
      <c r="Q41" s="1261"/>
      <c r="R41" s="667"/>
    </row>
    <row r="42" spans="1:18" ht="18">
      <c r="A42" s="859" t="s">
        <v>789</v>
      </c>
      <c r="B42" s="1377" t="s">
        <v>2665</v>
      </c>
      <c r="C42" s="637" t="s">
        <v>1787</v>
      </c>
      <c r="D42" s="26">
        <v>119</v>
      </c>
      <c r="E42" s="27">
        <v>200</v>
      </c>
      <c r="F42" s="27">
        <v>200</v>
      </c>
      <c r="G42" s="27">
        <v>200</v>
      </c>
      <c r="H42" s="27">
        <v>189</v>
      </c>
      <c r="I42" s="27">
        <v>189</v>
      </c>
      <c r="J42" s="27">
        <f>I42</f>
        <v>189</v>
      </c>
      <c r="K42" s="27">
        <f t="shared" si="0"/>
        <v>189</v>
      </c>
      <c r="L42" s="27">
        <f t="shared" si="1"/>
        <v>189</v>
      </c>
      <c r="M42" s="27">
        <f t="shared" si="2"/>
        <v>207.9</v>
      </c>
      <c r="N42" s="36">
        <f t="shared" si="3"/>
        <v>207.9</v>
      </c>
      <c r="O42" s="36">
        <f t="shared" si="4"/>
        <v>207.9</v>
      </c>
      <c r="P42" s="36">
        <f t="shared" si="13"/>
        <v>207.9</v>
      </c>
      <c r="Q42" s="213">
        <f>P42</f>
        <v>207.9</v>
      </c>
      <c r="R42" s="194"/>
    </row>
    <row r="43" spans="1:18" ht="18">
      <c r="A43" s="859" t="s">
        <v>790</v>
      </c>
      <c r="B43" s="1377" t="s">
        <v>2666</v>
      </c>
      <c r="C43" s="637" t="s">
        <v>1787</v>
      </c>
      <c r="D43" s="26">
        <v>425</v>
      </c>
      <c r="E43" s="27">
        <v>508</v>
      </c>
      <c r="F43" s="27">
        <v>508</v>
      </c>
      <c r="G43" s="27">
        <v>508</v>
      </c>
      <c r="H43" s="27">
        <v>210</v>
      </c>
      <c r="I43" s="27">
        <v>210</v>
      </c>
      <c r="J43" s="27">
        <f t="shared" ref="J43:J88" si="16">I43</f>
        <v>210</v>
      </c>
      <c r="K43" s="27">
        <f t="shared" si="0"/>
        <v>210</v>
      </c>
      <c r="L43" s="27">
        <f t="shared" si="1"/>
        <v>210</v>
      </c>
      <c r="M43" s="27">
        <f t="shared" si="2"/>
        <v>231.00000000000003</v>
      </c>
      <c r="N43" s="36">
        <f t="shared" si="3"/>
        <v>231.00000000000003</v>
      </c>
      <c r="O43" s="36">
        <f t="shared" si="4"/>
        <v>231.00000000000003</v>
      </c>
      <c r="P43" s="36">
        <f t="shared" si="13"/>
        <v>231.00000000000003</v>
      </c>
      <c r="Q43" s="213">
        <f t="shared" ref="Q43:Q76" si="17">P43</f>
        <v>231.00000000000003</v>
      </c>
      <c r="R43" s="194"/>
    </row>
    <row r="44" spans="1:18" ht="18">
      <c r="A44" s="859" t="s">
        <v>791</v>
      </c>
      <c r="B44" s="1377" t="s">
        <v>2667</v>
      </c>
      <c r="C44" s="637" t="s">
        <v>1787</v>
      </c>
      <c r="D44" s="26">
        <v>510</v>
      </c>
      <c r="E44" s="27">
        <v>640</v>
      </c>
      <c r="F44" s="27">
        <v>640</v>
      </c>
      <c r="G44" s="27">
        <v>640</v>
      </c>
      <c r="H44" s="27">
        <v>262.5</v>
      </c>
      <c r="I44" s="27">
        <v>262.5</v>
      </c>
      <c r="J44" s="27">
        <f t="shared" si="16"/>
        <v>262.5</v>
      </c>
      <c r="K44" s="27">
        <f t="shared" si="0"/>
        <v>262.5</v>
      </c>
      <c r="L44" s="27">
        <f t="shared" si="1"/>
        <v>262.5</v>
      </c>
      <c r="M44" s="27">
        <f t="shared" si="2"/>
        <v>288.75</v>
      </c>
      <c r="N44" s="36">
        <f t="shared" si="3"/>
        <v>288.75</v>
      </c>
      <c r="O44" s="36">
        <f t="shared" si="4"/>
        <v>288.75</v>
      </c>
      <c r="P44" s="36">
        <f t="shared" si="13"/>
        <v>288.75</v>
      </c>
      <c r="Q44" s="213">
        <f t="shared" si="17"/>
        <v>288.75</v>
      </c>
      <c r="R44" s="194"/>
    </row>
    <row r="45" spans="1:18" ht="18">
      <c r="A45" s="859" t="s">
        <v>792</v>
      </c>
      <c r="B45" s="1377" t="s">
        <v>2668</v>
      </c>
      <c r="C45" s="637" t="s">
        <v>1787</v>
      </c>
      <c r="D45" s="26">
        <v>560</v>
      </c>
      <c r="E45" s="27">
        <v>750</v>
      </c>
      <c r="F45" s="27">
        <v>750</v>
      </c>
      <c r="G45" s="27">
        <v>750</v>
      </c>
      <c r="H45" s="27">
        <v>735</v>
      </c>
      <c r="I45" s="27">
        <v>735</v>
      </c>
      <c r="J45" s="27">
        <f t="shared" si="16"/>
        <v>735</v>
      </c>
      <c r="K45" s="27">
        <f t="shared" si="0"/>
        <v>735</v>
      </c>
      <c r="L45" s="27">
        <f t="shared" si="1"/>
        <v>735</v>
      </c>
      <c r="M45" s="27">
        <f t="shared" si="2"/>
        <v>808.50000000000011</v>
      </c>
      <c r="N45" s="36">
        <f t="shared" si="3"/>
        <v>808.50000000000011</v>
      </c>
      <c r="O45" s="36">
        <f t="shared" si="4"/>
        <v>808.50000000000011</v>
      </c>
      <c r="P45" s="36">
        <f t="shared" si="13"/>
        <v>808.50000000000011</v>
      </c>
      <c r="Q45" s="213">
        <f t="shared" si="17"/>
        <v>808.50000000000011</v>
      </c>
      <c r="R45" s="194"/>
    </row>
    <row r="46" spans="1:18" ht="18">
      <c r="A46" s="859" t="s">
        <v>793</v>
      </c>
      <c r="B46" s="1377" t="s">
        <v>2669</v>
      </c>
      <c r="C46" s="637" t="s">
        <v>1787</v>
      </c>
      <c r="D46" s="26">
        <v>605</v>
      </c>
      <c r="E46" s="27">
        <v>865</v>
      </c>
      <c r="F46" s="27">
        <v>865</v>
      </c>
      <c r="G46" s="27">
        <v>865</v>
      </c>
      <c r="H46" s="27">
        <v>787.5</v>
      </c>
      <c r="I46" s="27">
        <v>787.5</v>
      </c>
      <c r="J46" s="27">
        <f t="shared" si="16"/>
        <v>787.5</v>
      </c>
      <c r="K46" s="27">
        <f t="shared" si="0"/>
        <v>787.5</v>
      </c>
      <c r="L46" s="27">
        <f t="shared" si="1"/>
        <v>787.5</v>
      </c>
      <c r="M46" s="27">
        <f t="shared" si="2"/>
        <v>866.25000000000011</v>
      </c>
      <c r="N46" s="36">
        <f t="shared" si="3"/>
        <v>866.25000000000011</v>
      </c>
      <c r="O46" s="36">
        <f t="shared" si="4"/>
        <v>866.25000000000011</v>
      </c>
      <c r="P46" s="36">
        <f t="shared" si="13"/>
        <v>866.25000000000011</v>
      </c>
      <c r="Q46" s="213">
        <f t="shared" si="17"/>
        <v>866.25000000000011</v>
      </c>
      <c r="R46" s="194"/>
    </row>
    <row r="47" spans="1:18" ht="18">
      <c r="A47" s="859" t="s">
        <v>794</v>
      </c>
      <c r="B47" s="1377" t="s">
        <v>2670</v>
      </c>
      <c r="C47" s="637" t="s">
        <v>1787</v>
      </c>
      <c r="D47" s="26">
        <v>90</v>
      </c>
      <c r="E47" s="27">
        <v>165</v>
      </c>
      <c r="F47" s="27">
        <v>165</v>
      </c>
      <c r="G47" s="27">
        <v>165</v>
      </c>
      <c r="H47" s="27">
        <v>199.5</v>
      </c>
      <c r="I47" s="27">
        <v>199.5</v>
      </c>
      <c r="J47" s="27">
        <f t="shared" si="16"/>
        <v>199.5</v>
      </c>
      <c r="K47" s="27">
        <f t="shared" si="0"/>
        <v>199.5</v>
      </c>
      <c r="L47" s="27">
        <f t="shared" si="1"/>
        <v>199.5</v>
      </c>
      <c r="M47" s="27">
        <f t="shared" si="2"/>
        <v>219.45000000000002</v>
      </c>
      <c r="N47" s="36">
        <f t="shared" si="3"/>
        <v>219.45000000000002</v>
      </c>
      <c r="O47" s="36">
        <f t="shared" si="4"/>
        <v>219.45000000000002</v>
      </c>
      <c r="P47" s="36">
        <f t="shared" si="13"/>
        <v>219.45000000000002</v>
      </c>
      <c r="Q47" s="213">
        <f t="shared" si="17"/>
        <v>219.45000000000002</v>
      </c>
      <c r="R47" s="194"/>
    </row>
    <row r="48" spans="1:18" ht="18">
      <c r="A48" s="859" t="s">
        <v>795</v>
      </c>
      <c r="B48" s="1377" t="s">
        <v>2671</v>
      </c>
      <c r="C48" s="637" t="s">
        <v>1787</v>
      </c>
      <c r="D48" s="26">
        <v>225</v>
      </c>
      <c r="E48" s="27">
        <v>225</v>
      </c>
      <c r="F48" s="27">
        <v>225</v>
      </c>
      <c r="G48" s="27">
        <v>225</v>
      </c>
      <c r="H48" s="27">
        <v>210</v>
      </c>
      <c r="I48" s="27">
        <v>210</v>
      </c>
      <c r="J48" s="27">
        <f t="shared" si="16"/>
        <v>210</v>
      </c>
      <c r="K48" s="27">
        <f t="shared" si="0"/>
        <v>210</v>
      </c>
      <c r="L48" s="27">
        <f t="shared" si="1"/>
        <v>210</v>
      </c>
      <c r="M48" s="27">
        <f t="shared" si="2"/>
        <v>231.00000000000003</v>
      </c>
      <c r="N48" s="36">
        <f t="shared" si="3"/>
        <v>231.00000000000003</v>
      </c>
      <c r="O48" s="36">
        <f t="shared" si="4"/>
        <v>231.00000000000003</v>
      </c>
      <c r="P48" s="36">
        <f t="shared" si="13"/>
        <v>231.00000000000003</v>
      </c>
      <c r="Q48" s="213">
        <f t="shared" si="17"/>
        <v>231.00000000000003</v>
      </c>
      <c r="R48" s="194"/>
    </row>
    <row r="49" spans="1:18" ht="18">
      <c r="A49" s="65">
        <v>19</v>
      </c>
      <c r="B49" s="837" t="s">
        <v>2717</v>
      </c>
      <c r="C49" s="637" t="s">
        <v>1787</v>
      </c>
      <c r="D49" s="26">
        <v>4</v>
      </c>
      <c r="E49" s="27">
        <v>4</v>
      </c>
      <c r="F49" s="27">
        <v>4</v>
      </c>
      <c r="G49" s="27">
        <v>4</v>
      </c>
      <c r="H49" s="27">
        <v>5.25</v>
      </c>
      <c r="I49" s="27">
        <v>5.25</v>
      </c>
      <c r="J49" s="27">
        <f t="shared" si="16"/>
        <v>5.25</v>
      </c>
      <c r="K49" s="27">
        <f t="shared" si="0"/>
        <v>5.25</v>
      </c>
      <c r="L49" s="27">
        <f t="shared" si="1"/>
        <v>5.25</v>
      </c>
      <c r="M49" s="27">
        <f t="shared" si="2"/>
        <v>5.7750000000000004</v>
      </c>
      <c r="N49" s="36">
        <f t="shared" si="3"/>
        <v>5.7750000000000004</v>
      </c>
      <c r="O49" s="36">
        <f t="shared" si="4"/>
        <v>5.7750000000000004</v>
      </c>
      <c r="P49" s="36">
        <f t="shared" si="13"/>
        <v>5.7750000000000004</v>
      </c>
      <c r="Q49" s="213">
        <f t="shared" si="17"/>
        <v>5.7750000000000004</v>
      </c>
      <c r="R49" s="194"/>
    </row>
    <row r="50" spans="1:18" ht="18">
      <c r="A50" s="65">
        <v>20</v>
      </c>
      <c r="B50" s="837" t="s">
        <v>2718</v>
      </c>
      <c r="C50" s="637" t="s">
        <v>1787</v>
      </c>
      <c r="D50" s="26">
        <v>5</v>
      </c>
      <c r="E50" s="27">
        <v>6</v>
      </c>
      <c r="F50" s="27">
        <v>6</v>
      </c>
      <c r="G50" s="27">
        <v>6</v>
      </c>
      <c r="H50" s="27">
        <v>4.2</v>
      </c>
      <c r="I50" s="27">
        <v>4.2</v>
      </c>
      <c r="J50" s="27">
        <f t="shared" si="16"/>
        <v>4.2</v>
      </c>
      <c r="K50" s="27">
        <f t="shared" si="0"/>
        <v>4.2</v>
      </c>
      <c r="L50" s="27">
        <f t="shared" si="1"/>
        <v>4.2</v>
      </c>
      <c r="M50" s="27">
        <f t="shared" si="2"/>
        <v>4.620000000000001</v>
      </c>
      <c r="N50" s="36">
        <f t="shared" si="3"/>
        <v>4.620000000000001</v>
      </c>
      <c r="O50" s="36">
        <f t="shared" si="4"/>
        <v>4.620000000000001</v>
      </c>
      <c r="P50" s="36">
        <f t="shared" si="13"/>
        <v>4.620000000000001</v>
      </c>
      <c r="Q50" s="213">
        <f t="shared" si="17"/>
        <v>4.620000000000001</v>
      </c>
      <c r="R50" s="194"/>
    </row>
    <row r="51" spans="1:18" ht="18">
      <c r="A51" s="65">
        <v>21</v>
      </c>
      <c r="B51" s="837" t="s">
        <v>2719</v>
      </c>
      <c r="C51" s="637" t="s">
        <v>1787</v>
      </c>
      <c r="D51" s="26">
        <v>5</v>
      </c>
      <c r="E51" s="27">
        <v>5</v>
      </c>
      <c r="F51" s="27">
        <v>5</v>
      </c>
      <c r="G51" s="27">
        <v>5</v>
      </c>
      <c r="H51" s="27">
        <v>5.25</v>
      </c>
      <c r="I51" s="27">
        <v>5.25</v>
      </c>
      <c r="J51" s="27">
        <f t="shared" si="16"/>
        <v>5.25</v>
      </c>
      <c r="K51" s="27">
        <f t="shared" si="0"/>
        <v>5.25</v>
      </c>
      <c r="L51" s="27">
        <f t="shared" si="1"/>
        <v>5.25</v>
      </c>
      <c r="M51" s="27">
        <f t="shared" si="2"/>
        <v>5.7750000000000004</v>
      </c>
      <c r="N51" s="36">
        <f t="shared" si="3"/>
        <v>5.7750000000000004</v>
      </c>
      <c r="O51" s="36">
        <f t="shared" si="4"/>
        <v>5.7750000000000004</v>
      </c>
      <c r="P51" s="36">
        <f t="shared" si="13"/>
        <v>5.7750000000000004</v>
      </c>
      <c r="Q51" s="213">
        <f t="shared" si="17"/>
        <v>5.7750000000000004</v>
      </c>
      <c r="R51" s="194"/>
    </row>
    <row r="52" spans="1:18" ht="18">
      <c r="A52" s="65">
        <v>22</v>
      </c>
      <c r="B52" s="837" t="s">
        <v>2720</v>
      </c>
      <c r="C52" s="637" t="s">
        <v>1787</v>
      </c>
      <c r="D52" s="26">
        <v>8</v>
      </c>
      <c r="E52" s="27">
        <v>10</v>
      </c>
      <c r="F52" s="27">
        <v>10</v>
      </c>
      <c r="G52" s="27">
        <v>10</v>
      </c>
      <c r="H52" s="27">
        <v>10.5</v>
      </c>
      <c r="I52" s="27">
        <v>10.5</v>
      </c>
      <c r="J52" s="27">
        <f t="shared" si="16"/>
        <v>10.5</v>
      </c>
      <c r="K52" s="27">
        <f t="shared" si="0"/>
        <v>10.5</v>
      </c>
      <c r="L52" s="27">
        <f t="shared" si="1"/>
        <v>10.5</v>
      </c>
      <c r="M52" s="27">
        <f t="shared" si="2"/>
        <v>11.55</v>
      </c>
      <c r="N52" s="36">
        <f t="shared" si="3"/>
        <v>11.55</v>
      </c>
      <c r="O52" s="36">
        <f t="shared" si="4"/>
        <v>11.55</v>
      </c>
      <c r="P52" s="36">
        <f t="shared" si="13"/>
        <v>11.55</v>
      </c>
      <c r="Q52" s="213">
        <f t="shared" si="17"/>
        <v>11.55</v>
      </c>
      <c r="R52" s="194"/>
    </row>
    <row r="53" spans="1:18" ht="18">
      <c r="A53" s="65">
        <v>23</v>
      </c>
      <c r="B53" s="837" t="s">
        <v>2721</v>
      </c>
      <c r="C53" s="637" t="s">
        <v>1787</v>
      </c>
      <c r="D53" s="26">
        <v>18</v>
      </c>
      <c r="E53" s="27">
        <v>20</v>
      </c>
      <c r="F53" s="27">
        <v>20</v>
      </c>
      <c r="G53" s="27">
        <v>20</v>
      </c>
      <c r="H53" s="27">
        <v>21</v>
      </c>
      <c r="I53" s="27">
        <v>21</v>
      </c>
      <c r="J53" s="27">
        <f t="shared" si="16"/>
        <v>21</v>
      </c>
      <c r="K53" s="27">
        <f t="shared" si="0"/>
        <v>21</v>
      </c>
      <c r="L53" s="27">
        <f t="shared" si="1"/>
        <v>21</v>
      </c>
      <c r="M53" s="27">
        <f t="shared" si="2"/>
        <v>23.1</v>
      </c>
      <c r="N53" s="36">
        <f t="shared" si="3"/>
        <v>23.1</v>
      </c>
      <c r="O53" s="36">
        <f t="shared" si="4"/>
        <v>23.1</v>
      </c>
      <c r="P53" s="36">
        <f t="shared" si="13"/>
        <v>23.1</v>
      </c>
      <c r="Q53" s="213">
        <f t="shared" si="17"/>
        <v>23.1</v>
      </c>
      <c r="R53" s="194"/>
    </row>
    <row r="54" spans="1:18" ht="18">
      <c r="A54" s="65">
        <v>24</v>
      </c>
      <c r="B54" s="837" t="s">
        <v>2722</v>
      </c>
      <c r="C54" s="637" t="s">
        <v>1787</v>
      </c>
      <c r="D54" s="26">
        <v>2</v>
      </c>
      <c r="E54" s="27">
        <v>2</v>
      </c>
      <c r="F54" s="27">
        <v>2</v>
      </c>
      <c r="G54" s="27">
        <v>2</v>
      </c>
      <c r="H54" s="27">
        <v>1.05</v>
      </c>
      <c r="I54" s="27">
        <v>1.05</v>
      </c>
      <c r="J54" s="27">
        <f t="shared" si="16"/>
        <v>1.05</v>
      </c>
      <c r="K54" s="27">
        <f t="shared" si="0"/>
        <v>1.05</v>
      </c>
      <c r="L54" s="27">
        <f t="shared" si="1"/>
        <v>1.05</v>
      </c>
      <c r="M54" s="27">
        <f t="shared" si="2"/>
        <v>1.1550000000000002</v>
      </c>
      <c r="N54" s="36">
        <f t="shared" si="3"/>
        <v>1.1550000000000002</v>
      </c>
      <c r="O54" s="36">
        <f t="shared" si="4"/>
        <v>1.1550000000000002</v>
      </c>
      <c r="P54" s="36">
        <f t="shared" si="13"/>
        <v>1.1550000000000002</v>
      </c>
      <c r="Q54" s="213">
        <f t="shared" si="17"/>
        <v>1.1550000000000002</v>
      </c>
      <c r="R54" s="194"/>
    </row>
    <row r="55" spans="1:18" ht="18">
      <c r="A55" s="65">
        <v>25</v>
      </c>
      <c r="B55" s="837" t="s">
        <v>2723</v>
      </c>
      <c r="C55" s="637" t="s">
        <v>1787</v>
      </c>
      <c r="D55" s="26"/>
      <c r="E55" s="27">
        <v>225</v>
      </c>
      <c r="F55" s="27">
        <v>225</v>
      </c>
      <c r="G55" s="27">
        <v>233</v>
      </c>
      <c r="H55" s="27">
        <v>236.25</v>
      </c>
      <c r="I55" s="27">
        <v>236.25</v>
      </c>
      <c r="J55" s="27">
        <f t="shared" si="16"/>
        <v>236.25</v>
      </c>
      <c r="K55" s="27">
        <f t="shared" si="0"/>
        <v>236.25</v>
      </c>
      <c r="L55" s="27">
        <f t="shared" si="1"/>
        <v>236.25</v>
      </c>
      <c r="M55" s="27">
        <f t="shared" si="2"/>
        <v>259.875</v>
      </c>
      <c r="N55" s="36">
        <f t="shared" si="3"/>
        <v>259.875</v>
      </c>
      <c r="O55" s="36">
        <f t="shared" si="4"/>
        <v>259.875</v>
      </c>
      <c r="P55" s="36">
        <f t="shared" si="13"/>
        <v>259.875</v>
      </c>
      <c r="Q55" s="213">
        <f t="shared" si="17"/>
        <v>259.875</v>
      </c>
      <c r="R55" s="194"/>
    </row>
    <row r="56" spans="1:18" ht="18">
      <c r="A56" s="65">
        <v>26</v>
      </c>
      <c r="B56" s="837" t="s">
        <v>2672</v>
      </c>
      <c r="C56" s="637" t="s">
        <v>1787</v>
      </c>
      <c r="D56" s="26">
        <v>20</v>
      </c>
      <c r="E56" s="27">
        <v>25</v>
      </c>
      <c r="F56" s="27">
        <v>25</v>
      </c>
      <c r="G56" s="27">
        <v>25</v>
      </c>
      <c r="H56" s="27">
        <v>26.25</v>
      </c>
      <c r="I56" s="27">
        <v>26.25</v>
      </c>
      <c r="J56" s="27">
        <f t="shared" si="16"/>
        <v>26.25</v>
      </c>
      <c r="K56" s="27">
        <f t="shared" si="0"/>
        <v>26.25</v>
      </c>
      <c r="L56" s="27">
        <f t="shared" si="1"/>
        <v>26.25</v>
      </c>
      <c r="M56" s="27">
        <f t="shared" si="2"/>
        <v>28.875000000000004</v>
      </c>
      <c r="N56" s="36">
        <f t="shared" si="3"/>
        <v>28.875000000000004</v>
      </c>
      <c r="O56" s="36">
        <f t="shared" si="4"/>
        <v>28.875000000000004</v>
      </c>
      <c r="P56" s="36">
        <f t="shared" si="13"/>
        <v>28.875000000000004</v>
      </c>
      <c r="Q56" s="213">
        <f t="shared" si="17"/>
        <v>28.875000000000004</v>
      </c>
      <c r="R56" s="194"/>
    </row>
    <row r="57" spans="1:18" ht="18">
      <c r="A57" s="65">
        <v>27</v>
      </c>
      <c r="B57" s="837" t="s">
        <v>2724</v>
      </c>
      <c r="C57" s="637" t="s">
        <v>1787</v>
      </c>
      <c r="D57" s="26">
        <v>20</v>
      </c>
      <c r="E57" s="27">
        <v>25</v>
      </c>
      <c r="F57" s="27">
        <v>25</v>
      </c>
      <c r="G57" s="27">
        <v>26</v>
      </c>
      <c r="H57" s="27">
        <v>37.800000000000004</v>
      </c>
      <c r="I57" s="27">
        <v>37.800000000000004</v>
      </c>
      <c r="J57" s="27">
        <f t="shared" si="16"/>
        <v>37.800000000000004</v>
      </c>
      <c r="K57" s="27">
        <f t="shared" si="0"/>
        <v>37.800000000000004</v>
      </c>
      <c r="L57" s="27">
        <f t="shared" si="1"/>
        <v>37.800000000000004</v>
      </c>
      <c r="M57" s="27">
        <f t="shared" si="2"/>
        <v>41.580000000000005</v>
      </c>
      <c r="N57" s="36">
        <f t="shared" si="3"/>
        <v>41.580000000000005</v>
      </c>
      <c r="O57" s="36">
        <f t="shared" si="4"/>
        <v>41.580000000000005</v>
      </c>
      <c r="P57" s="36">
        <f t="shared" si="13"/>
        <v>41.580000000000005</v>
      </c>
      <c r="Q57" s="213">
        <f t="shared" si="17"/>
        <v>41.580000000000005</v>
      </c>
      <c r="R57" s="194"/>
    </row>
    <row r="58" spans="1:18" ht="18">
      <c r="A58" s="65">
        <v>28</v>
      </c>
      <c r="B58" s="837" t="s">
        <v>2725</v>
      </c>
      <c r="C58" s="637" t="s">
        <v>1787</v>
      </c>
      <c r="D58" s="26">
        <v>23</v>
      </c>
      <c r="E58" s="27">
        <v>25</v>
      </c>
      <c r="F58" s="27">
        <v>25</v>
      </c>
      <c r="G58" s="27">
        <v>26</v>
      </c>
      <c r="H58" s="27">
        <v>57.75</v>
      </c>
      <c r="I58" s="27">
        <v>57.75</v>
      </c>
      <c r="J58" s="27">
        <f t="shared" si="16"/>
        <v>57.75</v>
      </c>
      <c r="K58" s="27">
        <f t="shared" si="0"/>
        <v>57.75</v>
      </c>
      <c r="L58" s="27">
        <f t="shared" si="1"/>
        <v>57.75</v>
      </c>
      <c r="M58" s="27">
        <f t="shared" si="2"/>
        <v>63.525000000000006</v>
      </c>
      <c r="N58" s="36">
        <f t="shared" si="3"/>
        <v>63.525000000000006</v>
      </c>
      <c r="O58" s="36">
        <f t="shared" si="4"/>
        <v>63.525000000000006</v>
      </c>
      <c r="P58" s="36">
        <f t="shared" si="13"/>
        <v>63.525000000000006</v>
      </c>
      <c r="Q58" s="213">
        <f t="shared" si="17"/>
        <v>63.525000000000006</v>
      </c>
      <c r="R58" s="194"/>
    </row>
    <row r="59" spans="1:18" ht="18">
      <c r="A59" s="65">
        <v>29</v>
      </c>
      <c r="B59" s="837" t="s">
        <v>2726</v>
      </c>
      <c r="C59" s="637" t="s">
        <v>1787</v>
      </c>
      <c r="D59" s="26">
        <v>82</v>
      </c>
      <c r="E59" s="27">
        <v>85</v>
      </c>
      <c r="F59" s="27">
        <v>85</v>
      </c>
      <c r="G59" s="27">
        <v>85</v>
      </c>
      <c r="H59" s="27">
        <v>89.25</v>
      </c>
      <c r="I59" s="27">
        <v>89.25</v>
      </c>
      <c r="J59" s="27">
        <f t="shared" si="16"/>
        <v>89.25</v>
      </c>
      <c r="K59" s="27">
        <f t="shared" si="0"/>
        <v>89.25</v>
      </c>
      <c r="L59" s="27">
        <f t="shared" si="1"/>
        <v>89.25</v>
      </c>
      <c r="M59" s="27">
        <f t="shared" si="2"/>
        <v>98.175000000000011</v>
      </c>
      <c r="N59" s="36">
        <f t="shared" si="3"/>
        <v>98.175000000000011</v>
      </c>
      <c r="O59" s="36">
        <f t="shared" si="4"/>
        <v>98.175000000000011</v>
      </c>
      <c r="P59" s="36">
        <f t="shared" si="13"/>
        <v>98.175000000000011</v>
      </c>
      <c r="Q59" s="213">
        <f t="shared" si="17"/>
        <v>98.175000000000011</v>
      </c>
      <c r="R59" s="194"/>
    </row>
    <row r="60" spans="1:18" ht="18">
      <c r="A60" s="65">
        <v>30</v>
      </c>
      <c r="B60" s="837" t="s">
        <v>2728</v>
      </c>
      <c r="C60" s="637" t="s">
        <v>1787</v>
      </c>
      <c r="D60" s="26">
        <v>46</v>
      </c>
      <c r="E60" s="27">
        <v>50</v>
      </c>
      <c r="F60" s="27">
        <v>50</v>
      </c>
      <c r="G60" s="27">
        <v>50</v>
      </c>
      <c r="H60" s="27">
        <v>52.5</v>
      </c>
      <c r="I60" s="27">
        <v>52.5</v>
      </c>
      <c r="J60" s="27">
        <f t="shared" si="16"/>
        <v>52.5</v>
      </c>
      <c r="K60" s="27">
        <f t="shared" si="0"/>
        <v>52.5</v>
      </c>
      <c r="L60" s="27">
        <f t="shared" si="1"/>
        <v>52.5</v>
      </c>
      <c r="M60" s="27">
        <f t="shared" si="2"/>
        <v>57.750000000000007</v>
      </c>
      <c r="N60" s="36">
        <f t="shared" si="3"/>
        <v>57.750000000000007</v>
      </c>
      <c r="O60" s="36">
        <f t="shared" si="4"/>
        <v>57.750000000000007</v>
      </c>
      <c r="P60" s="36">
        <f t="shared" si="13"/>
        <v>57.750000000000007</v>
      </c>
      <c r="Q60" s="213">
        <f t="shared" si="17"/>
        <v>57.750000000000007</v>
      </c>
      <c r="R60" s="194"/>
    </row>
    <row r="61" spans="1:18" ht="18">
      <c r="A61" s="65">
        <v>31</v>
      </c>
      <c r="B61" s="837" t="s">
        <v>2727</v>
      </c>
      <c r="C61" s="637" t="s">
        <v>1787</v>
      </c>
      <c r="D61" s="26">
        <v>50</v>
      </c>
      <c r="E61" s="27">
        <v>55</v>
      </c>
      <c r="F61" s="27">
        <v>55</v>
      </c>
      <c r="G61" s="27">
        <v>55</v>
      </c>
      <c r="H61" s="27">
        <v>57.75</v>
      </c>
      <c r="I61" s="27">
        <v>57.75</v>
      </c>
      <c r="J61" s="27">
        <f t="shared" si="16"/>
        <v>57.75</v>
      </c>
      <c r="K61" s="27">
        <f t="shared" si="0"/>
        <v>57.75</v>
      </c>
      <c r="L61" s="27">
        <f t="shared" si="1"/>
        <v>57.75</v>
      </c>
      <c r="M61" s="27">
        <f t="shared" si="2"/>
        <v>63.525000000000006</v>
      </c>
      <c r="N61" s="36">
        <f t="shared" si="3"/>
        <v>63.525000000000006</v>
      </c>
      <c r="O61" s="36">
        <f t="shared" si="4"/>
        <v>63.525000000000006</v>
      </c>
      <c r="P61" s="36">
        <f t="shared" si="13"/>
        <v>63.525000000000006</v>
      </c>
      <c r="Q61" s="213">
        <f t="shared" si="17"/>
        <v>63.525000000000006</v>
      </c>
      <c r="R61" s="194"/>
    </row>
    <row r="62" spans="1:18" ht="18">
      <c r="A62" s="65">
        <v>32</v>
      </c>
      <c r="B62" s="837" t="s">
        <v>2729</v>
      </c>
      <c r="C62" s="637" t="s">
        <v>1787</v>
      </c>
      <c r="D62" s="26">
        <v>70</v>
      </c>
      <c r="E62" s="27">
        <v>75</v>
      </c>
      <c r="F62" s="27">
        <v>75</v>
      </c>
      <c r="G62" s="27">
        <v>75</v>
      </c>
      <c r="H62" s="27">
        <v>78.75</v>
      </c>
      <c r="I62" s="27">
        <v>78.75</v>
      </c>
      <c r="J62" s="27">
        <f t="shared" si="16"/>
        <v>78.75</v>
      </c>
      <c r="K62" s="27">
        <f t="shared" si="0"/>
        <v>78.75</v>
      </c>
      <c r="L62" s="27">
        <f t="shared" si="1"/>
        <v>78.75</v>
      </c>
      <c r="M62" s="27">
        <f t="shared" si="2"/>
        <v>86.625</v>
      </c>
      <c r="N62" s="36">
        <f t="shared" si="3"/>
        <v>86.625</v>
      </c>
      <c r="O62" s="36">
        <f t="shared" si="4"/>
        <v>86.625</v>
      </c>
      <c r="P62" s="36">
        <f t="shared" si="13"/>
        <v>86.625</v>
      </c>
      <c r="Q62" s="213">
        <f t="shared" si="17"/>
        <v>86.625</v>
      </c>
      <c r="R62" s="194"/>
    </row>
    <row r="63" spans="1:18" ht="18">
      <c r="A63" s="65">
        <v>33</v>
      </c>
      <c r="B63" s="837" t="s">
        <v>2730</v>
      </c>
      <c r="C63" s="637" t="s">
        <v>1787</v>
      </c>
      <c r="D63" s="26">
        <v>90</v>
      </c>
      <c r="E63" s="27">
        <v>95</v>
      </c>
      <c r="F63" s="27">
        <v>95</v>
      </c>
      <c r="G63" s="27">
        <v>95</v>
      </c>
      <c r="H63" s="27">
        <v>99.75</v>
      </c>
      <c r="I63" s="27">
        <v>99.75</v>
      </c>
      <c r="J63" s="27">
        <f t="shared" si="16"/>
        <v>99.75</v>
      </c>
      <c r="K63" s="27">
        <f t="shared" ref="K63:K105" si="18">J63</f>
        <v>99.75</v>
      </c>
      <c r="L63" s="27">
        <f t="shared" ref="L63:L105" si="19">K63</f>
        <v>99.75</v>
      </c>
      <c r="M63" s="27">
        <f t="shared" ref="M63:M105" si="20">L63*1.1</f>
        <v>109.72500000000001</v>
      </c>
      <c r="N63" s="36">
        <f t="shared" ref="N63:N105" si="21">M63</f>
        <v>109.72500000000001</v>
      </c>
      <c r="O63" s="36">
        <f t="shared" ref="O63:O129" si="22">N63</f>
        <v>109.72500000000001</v>
      </c>
      <c r="P63" s="36">
        <f t="shared" si="13"/>
        <v>109.72500000000001</v>
      </c>
      <c r="Q63" s="213">
        <f t="shared" si="17"/>
        <v>109.72500000000001</v>
      </c>
      <c r="R63" s="194"/>
    </row>
    <row r="64" spans="1:18" ht="18">
      <c r="A64" s="65">
        <v>34</v>
      </c>
      <c r="B64" s="837" t="s">
        <v>2732</v>
      </c>
      <c r="C64" s="637" t="s">
        <v>1787</v>
      </c>
      <c r="D64" s="26">
        <v>80</v>
      </c>
      <c r="E64" s="27">
        <v>85</v>
      </c>
      <c r="F64" s="27">
        <v>85</v>
      </c>
      <c r="G64" s="27">
        <v>85</v>
      </c>
      <c r="H64" s="27">
        <v>89.25</v>
      </c>
      <c r="I64" s="27">
        <v>89.25</v>
      </c>
      <c r="J64" s="27">
        <f t="shared" si="16"/>
        <v>89.25</v>
      </c>
      <c r="K64" s="27">
        <f t="shared" si="18"/>
        <v>89.25</v>
      </c>
      <c r="L64" s="27">
        <f t="shared" si="19"/>
        <v>89.25</v>
      </c>
      <c r="M64" s="27">
        <f t="shared" si="20"/>
        <v>98.175000000000011</v>
      </c>
      <c r="N64" s="36">
        <f t="shared" si="21"/>
        <v>98.175000000000011</v>
      </c>
      <c r="O64" s="36">
        <f t="shared" si="22"/>
        <v>98.175000000000011</v>
      </c>
      <c r="P64" s="36">
        <f t="shared" si="13"/>
        <v>98.175000000000011</v>
      </c>
      <c r="Q64" s="213">
        <f t="shared" si="17"/>
        <v>98.175000000000011</v>
      </c>
      <c r="R64" s="194"/>
    </row>
    <row r="65" spans="1:19" ht="18">
      <c r="A65" s="65">
        <v>35</v>
      </c>
      <c r="B65" s="837" t="s">
        <v>2731</v>
      </c>
      <c r="C65" s="637" t="s">
        <v>1787</v>
      </c>
      <c r="D65" s="26">
        <v>90</v>
      </c>
      <c r="E65" s="27">
        <v>95</v>
      </c>
      <c r="F65" s="27">
        <v>95</v>
      </c>
      <c r="G65" s="27">
        <v>95</v>
      </c>
      <c r="H65" s="27">
        <v>99.75</v>
      </c>
      <c r="I65" s="27">
        <v>99.75</v>
      </c>
      <c r="J65" s="27">
        <f t="shared" si="16"/>
        <v>99.75</v>
      </c>
      <c r="K65" s="27">
        <f t="shared" si="18"/>
        <v>99.75</v>
      </c>
      <c r="L65" s="27">
        <f t="shared" si="19"/>
        <v>99.75</v>
      </c>
      <c r="M65" s="27">
        <f t="shared" si="20"/>
        <v>109.72500000000001</v>
      </c>
      <c r="N65" s="36">
        <f t="shared" si="21"/>
        <v>109.72500000000001</v>
      </c>
      <c r="O65" s="36">
        <f t="shared" si="22"/>
        <v>109.72500000000001</v>
      </c>
      <c r="P65" s="36">
        <f t="shared" si="13"/>
        <v>109.72500000000001</v>
      </c>
      <c r="Q65" s="213">
        <f t="shared" si="17"/>
        <v>109.72500000000001</v>
      </c>
      <c r="R65" s="194"/>
    </row>
    <row r="66" spans="1:19" ht="18">
      <c r="A66" s="65">
        <v>36</v>
      </c>
      <c r="B66" s="837" t="s">
        <v>2733</v>
      </c>
      <c r="C66" s="637" t="s">
        <v>1787</v>
      </c>
      <c r="D66" s="26">
        <v>2200</v>
      </c>
      <c r="E66" s="27">
        <v>2400</v>
      </c>
      <c r="F66" s="27">
        <v>2400</v>
      </c>
      <c r="G66" s="27">
        <v>2400</v>
      </c>
      <c r="H66" s="27">
        <v>2625</v>
      </c>
      <c r="I66" s="27">
        <v>2625</v>
      </c>
      <c r="J66" s="27">
        <f t="shared" si="16"/>
        <v>2625</v>
      </c>
      <c r="K66" s="27">
        <f t="shared" si="18"/>
        <v>2625</v>
      </c>
      <c r="L66" s="27">
        <f t="shared" si="19"/>
        <v>2625</v>
      </c>
      <c r="M66" s="27">
        <f t="shared" si="20"/>
        <v>2887.5000000000005</v>
      </c>
      <c r="N66" s="36">
        <f t="shared" si="21"/>
        <v>2887.5000000000005</v>
      </c>
      <c r="O66" s="36">
        <f t="shared" si="22"/>
        <v>2887.5000000000005</v>
      </c>
      <c r="P66" s="36">
        <f t="shared" si="13"/>
        <v>2887.5000000000005</v>
      </c>
      <c r="Q66" s="213">
        <f t="shared" si="17"/>
        <v>2887.5000000000005</v>
      </c>
      <c r="R66" s="194"/>
    </row>
    <row r="67" spans="1:19" ht="18">
      <c r="A67" s="65">
        <v>37</v>
      </c>
      <c r="B67" s="837" t="s">
        <v>2734</v>
      </c>
      <c r="C67" s="637" t="s">
        <v>1787</v>
      </c>
      <c r="D67" s="26">
        <v>1400</v>
      </c>
      <c r="E67" s="27">
        <v>1700</v>
      </c>
      <c r="F67" s="27">
        <v>1700</v>
      </c>
      <c r="G67" s="27">
        <v>1700</v>
      </c>
      <c r="H67" s="27">
        <v>1680</v>
      </c>
      <c r="I67" s="27">
        <v>1680</v>
      </c>
      <c r="J67" s="27">
        <f t="shared" si="16"/>
        <v>1680</v>
      </c>
      <c r="K67" s="27">
        <f t="shared" si="18"/>
        <v>1680</v>
      </c>
      <c r="L67" s="27">
        <f t="shared" si="19"/>
        <v>1680</v>
      </c>
      <c r="M67" s="27">
        <f t="shared" si="20"/>
        <v>1848.0000000000002</v>
      </c>
      <c r="N67" s="36">
        <f t="shared" si="21"/>
        <v>1848.0000000000002</v>
      </c>
      <c r="O67" s="36">
        <f t="shared" si="22"/>
        <v>1848.0000000000002</v>
      </c>
      <c r="P67" s="36">
        <f t="shared" si="13"/>
        <v>1848.0000000000002</v>
      </c>
      <c r="Q67" s="213">
        <f t="shared" si="17"/>
        <v>1848.0000000000002</v>
      </c>
      <c r="R67" s="194"/>
    </row>
    <row r="68" spans="1:19" ht="18">
      <c r="A68" s="65">
        <v>38</v>
      </c>
      <c r="B68" s="837" t="s">
        <v>2735</v>
      </c>
      <c r="C68" s="637" t="s">
        <v>1787</v>
      </c>
      <c r="D68" s="26">
        <v>200</v>
      </c>
      <c r="E68" s="27">
        <v>250</v>
      </c>
      <c r="F68" s="27">
        <v>250</v>
      </c>
      <c r="G68" s="27">
        <v>250</v>
      </c>
      <c r="H68" s="27">
        <v>353.11500000000001</v>
      </c>
      <c r="I68" s="27">
        <v>353.11500000000001</v>
      </c>
      <c r="J68" s="27">
        <f t="shared" si="16"/>
        <v>353.11500000000001</v>
      </c>
      <c r="K68" s="27">
        <f t="shared" si="18"/>
        <v>353.11500000000001</v>
      </c>
      <c r="L68" s="27">
        <f t="shared" si="19"/>
        <v>353.11500000000001</v>
      </c>
      <c r="M68" s="27">
        <f t="shared" si="20"/>
        <v>388.42650000000003</v>
      </c>
      <c r="N68" s="36">
        <f t="shared" si="21"/>
        <v>388.42650000000003</v>
      </c>
      <c r="O68" s="36">
        <f t="shared" si="22"/>
        <v>388.42650000000003</v>
      </c>
      <c r="P68" s="36">
        <f t="shared" si="13"/>
        <v>388.42650000000003</v>
      </c>
      <c r="Q68" s="213">
        <f t="shared" si="17"/>
        <v>388.42650000000003</v>
      </c>
      <c r="R68" s="194"/>
    </row>
    <row r="69" spans="1:19" ht="18">
      <c r="A69" s="65">
        <v>39</v>
      </c>
      <c r="B69" s="837" t="s">
        <v>2736</v>
      </c>
      <c r="C69" s="637" t="s">
        <v>1787</v>
      </c>
      <c r="D69" s="26">
        <v>180</v>
      </c>
      <c r="E69" s="27">
        <v>250</v>
      </c>
      <c r="F69" s="27">
        <v>250</v>
      </c>
      <c r="G69" s="27">
        <v>250</v>
      </c>
      <c r="H69" s="27">
        <v>262.5</v>
      </c>
      <c r="I69" s="27">
        <v>262.5</v>
      </c>
      <c r="J69" s="27">
        <f t="shared" si="16"/>
        <v>262.5</v>
      </c>
      <c r="K69" s="27">
        <f t="shared" si="18"/>
        <v>262.5</v>
      </c>
      <c r="L69" s="27">
        <f t="shared" si="19"/>
        <v>262.5</v>
      </c>
      <c r="M69" s="27">
        <f t="shared" si="20"/>
        <v>288.75</v>
      </c>
      <c r="N69" s="36">
        <f t="shared" si="21"/>
        <v>288.75</v>
      </c>
      <c r="O69" s="36">
        <f t="shared" si="22"/>
        <v>288.75</v>
      </c>
      <c r="P69" s="36">
        <f t="shared" si="13"/>
        <v>288.75</v>
      </c>
      <c r="Q69" s="213">
        <f t="shared" si="17"/>
        <v>288.75</v>
      </c>
      <c r="R69" s="194"/>
    </row>
    <row r="70" spans="1:19" ht="18">
      <c r="A70" s="65">
        <v>40</v>
      </c>
      <c r="B70" s="837" t="s">
        <v>2737</v>
      </c>
      <c r="C70" s="637" t="s">
        <v>1787</v>
      </c>
      <c r="D70" s="26">
        <v>250</v>
      </c>
      <c r="E70" s="27">
        <v>325</v>
      </c>
      <c r="F70" s="27">
        <v>325</v>
      </c>
      <c r="G70" s="27">
        <v>325</v>
      </c>
      <c r="H70" s="27">
        <v>315</v>
      </c>
      <c r="I70" s="27">
        <v>315</v>
      </c>
      <c r="J70" s="27">
        <f t="shared" si="16"/>
        <v>315</v>
      </c>
      <c r="K70" s="27">
        <f t="shared" si="18"/>
        <v>315</v>
      </c>
      <c r="L70" s="27">
        <f t="shared" si="19"/>
        <v>315</v>
      </c>
      <c r="M70" s="27">
        <f t="shared" si="20"/>
        <v>346.5</v>
      </c>
      <c r="N70" s="36">
        <f t="shared" si="21"/>
        <v>346.5</v>
      </c>
      <c r="O70" s="36">
        <f t="shared" si="22"/>
        <v>346.5</v>
      </c>
      <c r="P70" s="36">
        <f t="shared" si="13"/>
        <v>346.5</v>
      </c>
      <c r="Q70" s="213">
        <f t="shared" si="17"/>
        <v>346.5</v>
      </c>
      <c r="R70" s="194"/>
    </row>
    <row r="71" spans="1:19" ht="18">
      <c r="A71" s="65">
        <v>41</v>
      </c>
      <c r="B71" s="837" t="s">
        <v>2738</v>
      </c>
      <c r="C71" s="637" t="s">
        <v>1787</v>
      </c>
      <c r="D71" s="26">
        <v>100</v>
      </c>
      <c r="E71" s="27">
        <v>130</v>
      </c>
      <c r="F71" s="27">
        <v>130</v>
      </c>
      <c r="G71" s="27">
        <v>130</v>
      </c>
      <c r="H71" s="27">
        <v>157.5</v>
      </c>
      <c r="I71" s="27">
        <v>157.5</v>
      </c>
      <c r="J71" s="27">
        <f t="shared" si="16"/>
        <v>157.5</v>
      </c>
      <c r="K71" s="27">
        <f t="shared" si="18"/>
        <v>157.5</v>
      </c>
      <c r="L71" s="27">
        <f t="shared" si="19"/>
        <v>157.5</v>
      </c>
      <c r="M71" s="27">
        <f t="shared" si="20"/>
        <v>173.25</v>
      </c>
      <c r="N71" s="36">
        <f t="shared" si="21"/>
        <v>173.25</v>
      </c>
      <c r="O71" s="36">
        <f t="shared" si="22"/>
        <v>173.25</v>
      </c>
      <c r="P71" s="36">
        <f t="shared" si="13"/>
        <v>173.25</v>
      </c>
      <c r="Q71" s="213">
        <f t="shared" si="17"/>
        <v>173.25</v>
      </c>
      <c r="R71" s="194"/>
    </row>
    <row r="72" spans="1:19" ht="18">
      <c r="A72" s="65">
        <v>42</v>
      </c>
      <c r="B72" s="837" t="s">
        <v>2739</v>
      </c>
      <c r="C72" s="637" t="s">
        <v>1787</v>
      </c>
      <c r="D72" s="26">
        <v>400</v>
      </c>
      <c r="E72" s="27">
        <v>650</v>
      </c>
      <c r="F72" s="27">
        <v>650</v>
      </c>
      <c r="G72" s="27">
        <v>650</v>
      </c>
      <c r="H72" s="27">
        <v>735</v>
      </c>
      <c r="I72" s="27">
        <v>735</v>
      </c>
      <c r="J72" s="27">
        <f t="shared" si="16"/>
        <v>735</v>
      </c>
      <c r="K72" s="27">
        <f t="shared" si="18"/>
        <v>735</v>
      </c>
      <c r="L72" s="27">
        <f t="shared" si="19"/>
        <v>735</v>
      </c>
      <c r="M72" s="27">
        <f t="shared" si="20"/>
        <v>808.50000000000011</v>
      </c>
      <c r="N72" s="36">
        <f t="shared" si="21"/>
        <v>808.50000000000011</v>
      </c>
      <c r="O72" s="36">
        <f t="shared" si="22"/>
        <v>808.50000000000011</v>
      </c>
      <c r="P72" s="36">
        <f t="shared" si="13"/>
        <v>808.50000000000011</v>
      </c>
      <c r="Q72" s="213">
        <f t="shared" si="17"/>
        <v>808.50000000000011</v>
      </c>
      <c r="R72" s="194"/>
    </row>
    <row r="73" spans="1:19" ht="18">
      <c r="A73" s="65">
        <v>43</v>
      </c>
      <c r="B73" s="837" t="s">
        <v>2740</v>
      </c>
      <c r="C73" s="637" t="s">
        <v>1787</v>
      </c>
      <c r="D73" s="26">
        <v>150</v>
      </c>
      <c r="E73" s="27">
        <v>225</v>
      </c>
      <c r="F73" s="27">
        <v>225</v>
      </c>
      <c r="G73" s="27">
        <v>225</v>
      </c>
      <c r="H73" s="27">
        <v>257.25</v>
      </c>
      <c r="I73" s="27">
        <v>257.25</v>
      </c>
      <c r="J73" s="27">
        <f t="shared" si="16"/>
        <v>257.25</v>
      </c>
      <c r="K73" s="27">
        <f t="shared" si="18"/>
        <v>257.25</v>
      </c>
      <c r="L73" s="27">
        <f t="shared" si="19"/>
        <v>257.25</v>
      </c>
      <c r="M73" s="27">
        <f t="shared" si="20"/>
        <v>282.97500000000002</v>
      </c>
      <c r="N73" s="36">
        <f t="shared" si="21"/>
        <v>282.97500000000002</v>
      </c>
      <c r="O73" s="36">
        <f t="shared" si="22"/>
        <v>282.97500000000002</v>
      </c>
      <c r="P73" s="36">
        <f t="shared" si="13"/>
        <v>282.97500000000002</v>
      </c>
      <c r="Q73" s="213">
        <f t="shared" si="17"/>
        <v>282.97500000000002</v>
      </c>
      <c r="R73" s="194"/>
    </row>
    <row r="74" spans="1:19" ht="18">
      <c r="A74" s="65">
        <v>44</v>
      </c>
      <c r="B74" s="837" t="s">
        <v>2741</v>
      </c>
      <c r="C74" s="637" t="s">
        <v>1771</v>
      </c>
      <c r="D74" s="26">
        <v>6</v>
      </c>
      <c r="E74" s="27">
        <v>6</v>
      </c>
      <c r="F74" s="27">
        <v>6</v>
      </c>
      <c r="G74" s="27">
        <v>6</v>
      </c>
      <c r="H74" s="27">
        <v>10.5</v>
      </c>
      <c r="I74" s="27">
        <v>10.5</v>
      </c>
      <c r="J74" s="27">
        <f t="shared" si="16"/>
        <v>10.5</v>
      </c>
      <c r="K74" s="27">
        <f t="shared" si="18"/>
        <v>10.5</v>
      </c>
      <c r="L74" s="27">
        <f t="shared" si="19"/>
        <v>10.5</v>
      </c>
      <c r="M74" s="27">
        <f t="shared" si="20"/>
        <v>11.55</v>
      </c>
      <c r="N74" s="36">
        <f t="shared" si="21"/>
        <v>11.55</v>
      </c>
      <c r="O74" s="36">
        <f t="shared" si="22"/>
        <v>11.55</v>
      </c>
      <c r="P74" s="36">
        <f t="shared" si="13"/>
        <v>11.55</v>
      </c>
      <c r="Q74" s="213">
        <f t="shared" si="17"/>
        <v>11.55</v>
      </c>
      <c r="R74" s="194"/>
    </row>
    <row r="75" spans="1:19" ht="18">
      <c r="A75" s="65">
        <v>45</v>
      </c>
      <c r="B75" s="837" t="s">
        <v>2742</v>
      </c>
      <c r="C75" s="637" t="s">
        <v>2136</v>
      </c>
      <c r="D75" s="26"/>
      <c r="E75" s="27"/>
      <c r="F75" s="27"/>
      <c r="G75" s="27">
        <v>1100</v>
      </c>
      <c r="H75" s="27">
        <v>1155</v>
      </c>
      <c r="I75" s="27">
        <v>1155</v>
      </c>
      <c r="J75" s="27">
        <f t="shared" si="16"/>
        <v>1155</v>
      </c>
      <c r="K75" s="27">
        <f t="shared" si="18"/>
        <v>1155</v>
      </c>
      <c r="L75" s="27">
        <f t="shared" si="19"/>
        <v>1155</v>
      </c>
      <c r="M75" s="27">
        <f t="shared" si="20"/>
        <v>1270.5</v>
      </c>
      <c r="N75" s="36">
        <f t="shared" si="21"/>
        <v>1270.5</v>
      </c>
      <c r="O75" s="36">
        <f t="shared" si="22"/>
        <v>1270.5</v>
      </c>
      <c r="P75" s="36">
        <f t="shared" si="13"/>
        <v>1270.5</v>
      </c>
      <c r="Q75" s="213">
        <f t="shared" si="17"/>
        <v>1270.5</v>
      </c>
      <c r="R75" s="194"/>
    </row>
    <row r="76" spans="1:19" ht="19.5">
      <c r="A76" s="65">
        <v>46</v>
      </c>
      <c r="B76" s="837" t="s">
        <v>2743</v>
      </c>
      <c r="C76" s="849" t="s">
        <v>1770</v>
      </c>
      <c r="D76" s="26"/>
      <c r="E76" s="27"/>
      <c r="F76" s="27"/>
      <c r="G76" s="27">
        <v>140</v>
      </c>
      <c r="H76" s="27">
        <v>147</v>
      </c>
      <c r="I76" s="27">
        <v>147</v>
      </c>
      <c r="J76" s="27">
        <f t="shared" si="16"/>
        <v>147</v>
      </c>
      <c r="K76" s="27">
        <f t="shared" si="18"/>
        <v>147</v>
      </c>
      <c r="L76" s="27">
        <f t="shared" si="19"/>
        <v>147</v>
      </c>
      <c r="M76" s="27">
        <f t="shared" si="20"/>
        <v>161.70000000000002</v>
      </c>
      <c r="N76" s="36">
        <f t="shared" si="21"/>
        <v>161.70000000000002</v>
      </c>
      <c r="O76" s="36">
        <f t="shared" si="22"/>
        <v>161.70000000000002</v>
      </c>
      <c r="P76" s="36">
        <f t="shared" si="13"/>
        <v>161.70000000000002</v>
      </c>
      <c r="Q76" s="213">
        <f t="shared" si="17"/>
        <v>161.70000000000002</v>
      </c>
      <c r="R76" s="194"/>
    </row>
    <row r="77" spans="1:19" ht="15" customHeight="1">
      <c r="A77" s="786">
        <v>47</v>
      </c>
      <c r="B77" s="812" t="s">
        <v>2301</v>
      </c>
      <c r="C77" s="854"/>
      <c r="D77" s="607"/>
      <c r="E77" s="603"/>
      <c r="F77" s="603"/>
      <c r="G77" s="603"/>
      <c r="H77" s="603"/>
      <c r="I77" s="603"/>
      <c r="J77" s="603"/>
      <c r="K77" s="603"/>
      <c r="L77" s="603"/>
      <c r="M77" s="603"/>
      <c r="N77" s="695"/>
      <c r="O77" s="695"/>
      <c r="P77" s="806"/>
      <c r="Q77" s="1261"/>
      <c r="R77" s="658"/>
    </row>
    <row r="78" spans="1:19" ht="18">
      <c r="A78" s="41" t="s">
        <v>797</v>
      </c>
      <c r="B78" s="813" t="s">
        <v>2302</v>
      </c>
      <c r="C78" s="637" t="s">
        <v>2326</v>
      </c>
      <c r="D78" s="26"/>
      <c r="E78" s="27"/>
      <c r="F78" s="27"/>
      <c r="G78" s="27"/>
      <c r="H78" s="27">
        <v>30000</v>
      </c>
      <c r="I78" s="27">
        <v>30000</v>
      </c>
      <c r="J78" s="27">
        <f t="shared" si="16"/>
        <v>30000</v>
      </c>
      <c r="K78" s="27">
        <f t="shared" si="18"/>
        <v>30000</v>
      </c>
      <c r="L78" s="27">
        <f t="shared" si="19"/>
        <v>30000</v>
      </c>
      <c r="M78" s="27">
        <f t="shared" si="20"/>
        <v>33000</v>
      </c>
      <c r="N78" s="36">
        <f t="shared" si="21"/>
        <v>33000</v>
      </c>
      <c r="O78" s="36">
        <v>36300</v>
      </c>
      <c r="P78" s="36">
        <v>41580</v>
      </c>
      <c r="Q78" s="213">
        <f>P78</f>
        <v>41580</v>
      </c>
      <c r="R78" s="194"/>
      <c r="S78" s="839" t="s">
        <v>2524</v>
      </c>
    </row>
    <row r="79" spans="1:19" ht="18">
      <c r="A79" s="41" t="s">
        <v>798</v>
      </c>
      <c r="B79" s="813" t="s">
        <v>2303</v>
      </c>
      <c r="C79" s="637" t="s">
        <v>2326</v>
      </c>
      <c r="D79" s="26"/>
      <c r="E79" s="27"/>
      <c r="F79" s="27"/>
      <c r="G79" s="27"/>
      <c r="H79" s="27">
        <v>55000</v>
      </c>
      <c r="I79" s="27">
        <v>55000</v>
      </c>
      <c r="J79" s="27">
        <f t="shared" si="16"/>
        <v>55000</v>
      </c>
      <c r="K79" s="27">
        <f t="shared" si="18"/>
        <v>55000</v>
      </c>
      <c r="L79" s="27">
        <f t="shared" si="19"/>
        <v>55000</v>
      </c>
      <c r="M79" s="27">
        <f t="shared" si="20"/>
        <v>60500.000000000007</v>
      </c>
      <c r="N79" s="36">
        <f t="shared" si="21"/>
        <v>60500.000000000007</v>
      </c>
      <c r="O79" s="36">
        <v>66550</v>
      </c>
      <c r="P79" s="36">
        <v>70700</v>
      </c>
      <c r="Q79" s="213">
        <f t="shared" ref="Q79:Q94" si="23">P79</f>
        <v>70700</v>
      </c>
      <c r="R79" s="194"/>
      <c r="S79" s="839" t="s">
        <v>2524</v>
      </c>
    </row>
    <row r="80" spans="1:19" ht="18">
      <c r="A80" s="41" t="s">
        <v>799</v>
      </c>
      <c r="B80" s="813" t="s">
        <v>2304</v>
      </c>
      <c r="C80" s="637" t="s">
        <v>2326</v>
      </c>
      <c r="D80" s="26"/>
      <c r="E80" s="27"/>
      <c r="F80" s="27"/>
      <c r="G80" s="27"/>
      <c r="H80" s="27">
        <v>89000</v>
      </c>
      <c r="I80" s="27">
        <v>89000</v>
      </c>
      <c r="J80" s="27">
        <f t="shared" si="16"/>
        <v>89000</v>
      </c>
      <c r="K80" s="27">
        <f t="shared" si="18"/>
        <v>89000</v>
      </c>
      <c r="L80" s="27">
        <f t="shared" si="19"/>
        <v>89000</v>
      </c>
      <c r="M80" s="27">
        <f t="shared" si="20"/>
        <v>97900.000000000015</v>
      </c>
      <c r="N80" s="36">
        <f t="shared" si="21"/>
        <v>97900.000000000015</v>
      </c>
      <c r="O80" s="36">
        <v>107690</v>
      </c>
      <c r="P80" s="36">
        <v>124820</v>
      </c>
      <c r="Q80" s="213">
        <f t="shared" si="23"/>
        <v>124820</v>
      </c>
      <c r="R80" s="194"/>
      <c r="S80" s="839" t="s">
        <v>2524</v>
      </c>
    </row>
    <row r="81" spans="1:23" ht="18">
      <c r="A81" s="65">
        <v>48</v>
      </c>
      <c r="B81" s="813" t="s">
        <v>800</v>
      </c>
      <c r="C81" s="637" t="s">
        <v>2136</v>
      </c>
      <c r="D81" s="26"/>
      <c r="E81" s="27"/>
      <c r="F81" s="27"/>
      <c r="G81" s="27">
        <v>132.75</v>
      </c>
      <c r="H81" s="27">
        <v>141.75</v>
      </c>
      <c r="I81" s="27">
        <v>141.75</v>
      </c>
      <c r="J81" s="27">
        <f t="shared" si="16"/>
        <v>141.75</v>
      </c>
      <c r="K81" s="27">
        <f t="shared" si="18"/>
        <v>141.75</v>
      </c>
      <c r="L81" s="27">
        <f t="shared" si="19"/>
        <v>141.75</v>
      </c>
      <c r="M81" s="27">
        <f t="shared" si="20"/>
        <v>155.92500000000001</v>
      </c>
      <c r="N81" s="36">
        <f t="shared" si="21"/>
        <v>155.92500000000001</v>
      </c>
      <c r="O81" s="36">
        <f t="shared" si="22"/>
        <v>155.92500000000001</v>
      </c>
      <c r="P81" s="36">
        <f t="shared" si="13"/>
        <v>155.92500000000001</v>
      </c>
      <c r="Q81" s="213">
        <f t="shared" si="23"/>
        <v>155.92500000000001</v>
      </c>
      <c r="R81" s="194"/>
    </row>
    <row r="82" spans="1:23" ht="18">
      <c r="A82" s="65">
        <v>49</v>
      </c>
      <c r="B82" s="813" t="s">
        <v>801</v>
      </c>
      <c r="C82" s="637" t="s">
        <v>1787</v>
      </c>
      <c r="D82" s="26"/>
      <c r="E82" s="27"/>
      <c r="F82" s="27"/>
      <c r="G82" s="27">
        <v>88.85</v>
      </c>
      <c r="H82" s="27">
        <v>94.5</v>
      </c>
      <c r="I82" s="27">
        <v>94.5</v>
      </c>
      <c r="J82" s="27">
        <f t="shared" si="16"/>
        <v>94.5</v>
      </c>
      <c r="K82" s="27">
        <f t="shared" si="18"/>
        <v>94.5</v>
      </c>
      <c r="L82" s="27">
        <f t="shared" si="19"/>
        <v>94.5</v>
      </c>
      <c r="M82" s="27">
        <f t="shared" si="20"/>
        <v>103.95</v>
      </c>
      <c r="N82" s="36">
        <f t="shared" si="21"/>
        <v>103.95</v>
      </c>
      <c r="O82" s="36">
        <f t="shared" si="22"/>
        <v>103.95</v>
      </c>
      <c r="P82" s="36">
        <f t="shared" si="13"/>
        <v>103.95</v>
      </c>
      <c r="Q82" s="213">
        <f t="shared" si="23"/>
        <v>103.95</v>
      </c>
      <c r="R82" s="194"/>
    </row>
    <row r="83" spans="1:23" ht="18">
      <c r="A83" s="65">
        <v>50</v>
      </c>
      <c r="B83" s="813" t="s">
        <v>802</v>
      </c>
      <c r="C83" s="637" t="s">
        <v>1770</v>
      </c>
      <c r="D83" s="26"/>
      <c r="E83" s="27"/>
      <c r="F83" s="27"/>
      <c r="G83" s="27">
        <v>707.85</v>
      </c>
      <c r="H83" s="27">
        <v>745.5</v>
      </c>
      <c r="I83" s="27">
        <v>745.5</v>
      </c>
      <c r="J83" s="27">
        <f t="shared" si="16"/>
        <v>745.5</v>
      </c>
      <c r="K83" s="27">
        <f t="shared" si="18"/>
        <v>745.5</v>
      </c>
      <c r="L83" s="27">
        <f t="shared" si="19"/>
        <v>745.5</v>
      </c>
      <c r="M83" s="27">
        <f t="shared" si="20"/>
        <v>820.05000000000007</v>
      </c>
      <c r="N83" s="36">
        <f t="shared" si="21"/>
        <v>820.05000000000007</v>
      </c>
      <c r="O83" s="36">
        <f t="shared" si="22"/>
        <v>820.05000000000007</v>
      </c>
      <c r="P83" s="36">
        <f t="shared" si="13"/>
        <v>820.05000000000007</v>
      </c>
      <c r="Q83" s="213">
        <f t="shared" si="23"/>
        <v>820.05000000000007</v>
      </c>
      <c r="R83" s="194"/>
    </row>
    <row r="84" spans="1:23" ht="19.5">
      <c r="A84" s="65">
        <v>51</v>
      </c>
      <c r="B84" s="1371" t="s">
        <v>2695</v>
      </c>
      <c r="C84" s="637" t="s">
        <v>1787</v>
      </c>
      <c r="D84" s="26"/>
      <c r="E84" s="27"/>
      <c r="F84" s="27"/>
      <c r="G84" s="27">
        <v>1637.25</v>
      </c>
      <c r="H84" s="27">
        <v>2600</v>
      </c>
      <c r="I84" s="27">
        <v>2600</v>
      </c>
      <c r="J84" s="27">
        <f t="shared" si="16"/>
        <v>2600</v>
      </c>
      <c r="K84" s="27">
        <f t="shared" si="18"/>
        <v>2600</v>
      </c>
      <c r="L84" s="27">
        <f t="shared" si="19"/>
        <v>2600</v>
      </c>
      <c r="M84" s="27">
        <f t="shared" si="20"/>
        <v>2860.0000000000005</v>
      </c>
      <c r="N84" s="36">
        <f t="shared" si="21"/>
        <v>2860.0000000000005</v>
      </c>
      <c r="O84" s="36">
        <v>3146</v>
      </c>
      <c r="P84" s="36">
        <f t="shared" si="13"/>
        <v>3146</v>
      </c>
      <c r="Q84" s="213">
        <f t="shared" si="23"/>
        <v>3146</v>
      </c>
      <c r="R84" s="194"/>
      <c r="S84" s="155"/>
    </row>
    <row r="85" spans="1:23" ht="18">
      <c r="A85" s="860">
        <v>52.1</v>
      </c>
      <c r="B85" s="813" t="s">
        <v>803</v>
      </c>
      <c r="C85" s="637" t="s">
        <v>2326</v>
      </c>
      <c r="D85" s="26"/>
      <c r="E85" s="27"/>
      <c r="F85" s="27"/>
      <c r="G85" s="27">
        <v>58401.7</v>
      </c>
      <c r="H85" s="27">
        <v>45000</v>
      </c>
      <c r="I85" s="27">
        <v>45000</v>
      </c>
      <c r="J85" s="27">
        <f t="shared" si="16"/>
        <v>45000</v>
      </c>
      <c r="K85" s="27">
        <f t="shared" si="18"/>
        <v>45000</v>
      </c>
      <c r="L85" s="27">
        <f t="shared" si="19"/>
        <v>45000</v>
      </c>
      <c r="M85" s="27">
        <f t="shared" si="20"/>
        <v>49500.000000000007</v>
      </c>
      <c r="N85" s="36">
        <f t="shared" si="21"/>
        <v>49500.000000000007</v>
      </c>
      <c r="O85" s="36">
        <v>11178</v>
      </c>
      <c r="P85" s="36">
        <f t="shared" ref="P85:P149" si="24">O85</f>
        <v>11178</v>
      </c>
      <c r="Q85" s="213">
        <f t="shared" si="23"/>
        <v>11178</v>
      </c>
      <c r="R85" s="194"/>
    </row>
    <row r="86" spans="1:23" ht="18">
      <c r="A86" s="860">
        <v>52.2</v>
      </c>
      <c r="B86" s="813" t="s">
        <v>1762</v>
      </c>
      <c r="C86" s="637" t="s">
        <v>2326</v>
      </c>
      <c r="D86" s="26"/>
      <c r="E86" s="27"/>
      <c r="F86" s="27"/>
      <c r="G86" s="27"/>
      <c r="H86" s="27"/>
      <c r="I86" s="27"/>
      <c r="J86" s="27"/>
      <c r="K86" s="27"/>
      <c r="L86" s="27"/>
      <c r="M86" s="27"/>
      <c r="N86" s="1050" t="s">
        <v>2160</v>
      </c>
      <c r="O86" s="36">
        <v>11557.5</v>
      </c>
      <c r="P86" s="36">
        <f t="shared" si="24"/>
        <v>11557.5</v>
      </c>
      <c r="Q86" s="213">
        <f t="shared" si="23"/>
        <v>11557.5</v>
      </c>
      <c r="R86" s="194"/>
    </row>
    <row r="87" spans="1:23" ht="15" customHeight="1">
      <c r="A87" s="65">
        <v>53</v>
      </c>
      <c r="B87" s="813" t="s">
        <v>804</v>
      </c>
      <c r="C87" s="637" t="s">
        <v>2136</v>
      </c>
      <c r="D87" s="26"/>
      <c r="E87" s="27"/>
      <c r="F87" s="27"/>
      <c r="G87" s="27">
        <v>619.5</v>
      </c>
      <c r="H87" s="27">
        <v>1200</v>
      </c>
      <c r="I87" s="27">
        <v>1200</v>
      </c>
      <c r="J87" s="27">
        <f t="shared" si="16"/>
        <v>1200</v>
      </c>
      <c r="K87" s="27">
        <f t="shared" si="18"/>
        <v>1200</v>
      </c>
      <c r="L87" s="27">
        <f t="shared" si="19"/>
        <v>1200</v>
      </c>
      <c r="M87" s="27">
        <f t="shared" si="20"/>
        <v>1320</v>
      </c>
      <c r="N87" s="36">
        <f t="shared" si="21"/>
        <v>1320</v>
      </c>
      <c r="O87" s="36">
        <f>N87*1.1</f>
        <v>1452.0000000000002</v>
      </c>
      <c r="P87" s="36">
        <f t="shared" si="24"/>
        <v>1452.0000000000002</v>
      </c>
      <c r="Q87" s="213">
        <f t="shared" si="23"/>
        <v>1452.0000000000002</v>
      </c>
      <c r="R87" s="194"/>
    </row>
    <row r="88" spans="1:23" ht="19.5">
      <c r="A88" s="65">
        <v>54</v>
      </c>
      <c r="B88" s="1372" t="s">
        <v>2696</v>
      </c>
      <c r="C88" s="637" t="s">
        <v>2327</v>
      </c>
      <c r="D88" s="26">
        <v>870</v>
      </c>
      <c r="E88" s="27">
        <v>870</v>
      </c>
      <c r="F88" s="27">
        <v>940</v>
      </c>
      <c r="G88" s="27">
        <v>940</v>
      </c>
      <c r="H88" s="27">
        <v>1050</v>
      </c>
      <c r="I88" s="27">
        <v>1050</v>
      </c>
      <c r="J88" s="27">
        <f t="shared" si="16"/>
        <v>1050</v>
      </c>
      <c r="K88" s="27">
        <f t="shared" si="18"/>
        <v>1050</v>
      </c>
      <c r="L88" s="27">
        <f t="shared" si="19"/>
        <v>1050</v>
      </c>
      <c r="M88" s="27">
        <f t="shared" si="20"/>
        <v>1155</v>
      </c>
      <c r="N88" s="36">
        <f t="shared" si="21"/>
        <v>1155</v>
      </c>
      <c r="O88" s="36">
        <f t="shared" si="22"/>
        <v>1155</v>
      </c>
      <c r="P88" s="36">
        <f t="shared" si="24"/>
        <v>1155</v>
      </c>
      <c r="Q88" s="213">
        <f t="shared" si="23"/>
        <v>1155</v>
      </c>
      <c r="R88" s="194"/>
    </row>
    <row r="89" spans="1:23" ht="65.45" customHeight="1">
      <c r="A89" s="69">
        <v>55</v>
      </c>
      <c r="B89" s="1499" t="s">
        <v>805</v>
      </c>
      <c r="C89" s="637"/>
      <c r="D89" s="26"/>
      <c r="E89" s="27"/>
      <c r="F89" s="27"/>
      <c r="G89" s="27"/>
      <c r="H89" s="27"/>
      <c r="I89" s="27"/>
      <c r="J89" s="27"/>
      <c r="K89" s="27"/>
      <c r="L89" s="27"/>
      <c r="M89" s="27"/>
      <c r="N89" s="36"/>
      <c r="O89" s="36"/>
      <c r="P89" s="36"/>
      <c r="Q89" s="213"/>
      <c r="R89" s="194"/>
    </row>
    <row r="90" spans="1:23" ht="19.5">
      <c r="A90" s="1373">
        <v>55.1</v>
      </c>
      <c r="B90" s="1372" t="s">
        <v>2697</v>
      </c>
      <c r="C90" s="637" t="s">
        <v>2162</v>
      </c>
      <c r="D90" s="26">
        <v>50</v>
      </c>
      <c r="E90" s="27">
        <v>50</v>
      </c>
      <c r="F90" s="27">
        <v>50</v>
      </c>
      <c r="G90" s="27">
        <v>50</v>
      </c>
      <c r="H90" s="27">
        <v>47.25</v>
      </c>
      <c r="I90" s="27">
        <v>47.25</v>
      </c>
      <c r="J90" s="27">
        <f>I90</f>
        <v>47.25</v>
      </c>
      <c r="K90" s="27">
        <f t="shared" si="18"/>
        <v>47.25</v>
      </c>
      <c r="L90" s="27">
        <f t="shared" si="19"/>
        <v>47.25</v>
      </c>
      <c r="M90" s="27">
        <f t="shared" si="20"/>
        <v>51.975000000000001</v>
      </c>
      <c r="N90" s="36">
        <f t="shared" si="21"/>
        <v>51.975000000000001</v>
      </c>
      <c r="O90" s="36">
        <f t="shared" si="22"/>
        <v>51.975000000000001</v>
      </c>
      <c r="P90" s="36">
        <f t="shared" si="24"/>
        <v>51.975000000000001</v>
      </c>
      <c r="Q90" s="213">
        <f t="shared" si="23"/>
        <v>51.975000000000001</v>
      </c>
      <c r="R90" s="194"/>
    </row>
    <row r="91" spans="1:23" ht="19.5">
      <c r="A91" s="1373">
        <v>55.2</v>
      </c>
      <c r="B91" s="1372" t="s">
        <v>2698</v>
      </c>
      <c r="C91" s="637" t="s">
        <v>2162</v>
      </c>
      <c r="D91" s="26">
        <v>35</v>
      </c>
      <c r="E91" s="27">
        <v>40</v>
      </c>
      <c r="F91" s="27">
        <v>40</v>
      </c>
      <c r="G91" s="27">
        <v>40</v>
      </c>
      <c r="H91" s="27">
        <v>36.75</v>
      </c>
      <c r="I91" s="27">
        <v>36.75</v>
      </c>
      <c r="J91" s="27">
        <f t="shared" ref="J91:J94" si="25">I91</f>
        <v>36.75</v>
      </c>
      <c r="K91" s="27">
        <f t="shared" si="18"/>
        <v>36.75</v>
      </c>
      <c r="L91" s="27">
        <f t="shared" si="19"/>
        <v>36.75</v>
      </c>
      <c r="M91" s="27">
        <f t="shared" si="20"/>
        <v>40.425000000000004</v>
      </c>
      <c r="N91" s="36">
        <f t="shared" si="21"/>
        <v>40.425000000000004</v>
      </c>
      <c r="O91" s="36">
        <f t="shared" si="22"/>
        <v>40.425000000000004</v>
      </c>
      <c r="P91" s="36">
        <f t="shared" si="24"/>
        <v>40.425000000000004</v>
      </c>
      <c r="Q91" s="213">
        <f t="shared" si="23"/>
        <v>40.425000000000004</v>
      </c>
      <c r="R91" s="194"/>
    </row>
    <row r="92" spans="1:23" ht="19.5">
      <c r="A92" s="1373">
        <v>55.3</v>
      </c>
      <c r="B92" s="1372" t="s">
        <v>2699</v>
      </c>
      <c r="C92" s="637" t="s">
        <v>2162</v>
      </c>
      <c r="D92" s="26">
        <v>255</v>
      </c>
      <c r="E92" s="27">
        <v>400</v>
      </c>
      <c r="F92" s="27">
        <v>440</v>
      </c>
      <c r="G92" s="27">
        <v>440</v>
      </c>
      <c r="H92" s="27">
        <v>588</v>
      </c>
      <c r="I92" s="27">
        <v>588</v>
      </c>
      <c r="J92" s="27">
        <f t="shared" si="25"/>
        <v>588</v>
      </c>
      <c r="K92" s="27">
        <f t="shared" si="18"/>
        <v>588</v>
      </c>
      <c r="L92" s="27">
        <f t="shared" si="19"/>
        <v>588</v>
      </c>
      <c r="M92" s="27">
        <f t="shared" si="20"/>
        <v>646.80000000000007</v>
      </c>
      <c r="N92" s="36">
        <f t="shared" si="21"/>
        <v>646.80000000000007</v>
      </c>
      <c r="O92" s="36">
        <f t="shared" si="22"/>
        <v>646.80000000000007</v>
      </c>
      <c r="P92" s="36">
        <f t="shared" si="24"/>
        <v>646.80000000000007</v>
      </c>
      <c r="Q92" s="213">
        <f t="shared" si="23"/>
        <v>646.80000000000007</v>
      </c>
      <c r="R92" s="194"/>
    </row>
    <row r="93" spans="1:23" ht="19.5">
      <c r="A93" s="1373">
        <v>55.4</v>
      </c>
      <c r="B93" s="1372" t="s">
        <v>2700</v>
      </c>
      <c r="C93" s="637" t="s">
        <v>2162</v>
      </c>
      <c r="D93" s="26">
        <v>230</v>
      </c>
      <c r="E93" s="27">
        <v>340</v>
      </c>
      <c r="F93" s="27">
        <v>375</v>
      </c>
      <c r="G93" s="27">
        <v>375</v>
      </c>
      <c r="H93" s="27">
        <v>504</v>
      </c>
      <c r="I93" s="27">
        <v>504</v>
      </c>
      <c r="J93" s="27">
        <f t="shared" si="25"/>
        <v>504</v>
      </c>
      <c r="K93" s="27">
        <f t="shared" si="18"/>
        <v>504</v>
      </c>
      <c r="L93" s="27">
        <f t="shared" si="19"/>
        <v>504</v>
      </c>
      <c r="M93" s="27">
        <f t="shared" si="20"/>
        <v>554.40000000000009</v>
      </c>
      <c r="N93" s="36">
        <f t="shared" si="21"/>
        <v>554.40000000000009</v>
      </c>
      <c r="O93" s="36">
        <f t="shared" si="22"/>
        <v>554.40000000000009</v>
      </c>
      <c r="P93" s="36">
        <f t="shared" si="24"/>
        <v>554.40000000000009</v>
      </c>
      <c r="Q93" s="213">
        <f t="shared" si="23"/>
        <v>554.40000000000009</v>
      </c>
      <c r="R93" s="194"/>
    </row>
    <row r="94" spans="1:23" ht="19.5">
      <c r="A94" s="1373">
        <v>55.5</v>
      </c>
      <c r="B94" s="1372" t="s">
        <v>2701</v>
      </c>
      <c r="C94" s="637" t="s">
        <v>1771</v>
      </c>
      <c r="D94" s="26">
        <v>18</v>
      </c>
      <c r="E94" s="27">
        <v>20</v>
      </c>
      <c r="F94" s="27">
        <v>20</v>
      </c>
      <c r="G94" s="27">
        <v>23</v>
      </c>
      <c r="H94" s="27">
        <v>26.25</v>
      </c>
      <c r="I94" s="27">
        <v>26.25</v>
      </c>
      <c r="J94" s="27">
        <f t="shared" si="25"/>
        <v>26.25</v>
      </c>
      <c r="K94" s="27">
        <f t="shared" si="18"/>
        <v>26.25</v>
      </c>
      <c r="L94" s="27">
        <f t="shared" si="19"/>
        <v>26.25</v>
      </c>
      <c r="M94" s="27">
        <f t="shared" si="20"/>
        <v>28.875000000000004</v>
      </c>
      <c r="N94" s="36">
        <f t="shared" si="21"/>
        <v>28.875000000000004</v>
      </c>
      <c r="O94" s="36">
        <f t="shared" si="22"/>
        <v>28.875000000000004</v>
      </c>
      <c r="P94" s="36">
        <f t="shared" si="24"/>
        <v>28.875000000000004</v>
      </c>
      <c r="Q94" s="213">
        <f t="shared" si="23"/>
        <v>28.875000000000004</v>
      </c>
      <c r="R94" s="194"/>
    </row>
    <row r="95" spans="1:23" ht="15" customHeight="1" thickBot="1">
      <c r="A95" s="861">
        <v>56</v>
      </c>
      <c r="B95" s="623" t="s">
        <v>806</v>
      </c>
      <c r="C95" s="624"/>
      <c r="D95" s="625"/>
      <c r="E95" s="603"/>
      <c r="F95" s="603"/>
      <c r="G95" s="603"/>
      <c r="H95" s="603"/>
      <c r="I95" s="603"/>
      <c r="J95" s="603"/>
      <c r="K95" s="603"/>
      <c r="L95" s="603"/>
      <c r="M95" s="603"/>
      <c r="N95" s="695"/>
      <c r="O95" s="695"/>
      <c r="P95" s="806"/>
      <c r="Q95" s="1261"/>
      <c r="R95" s="658"/>
      <c r="S95" s="839" t="s">
        <v>2606</v>
      </c>
      <c r="T95" s="839" t="s">
        <v>2607</v>
      </c>
      <c r="U95" s="839" t="s">
        <v>2322</v>
      </c>
      <c r="V95" s="839"/>
      <c r="W95" s="839"/>
    </row>
    <row r="96" spans="1:23" ht="18">
      <c r="A96" s="1373">
        <v>56.1</v>
      </c>
      <c r="B96" s="852" t="s">
        <v>2260</v>
      </c>
      <c r="C96" s="637" t="s">
        <v>2110</v>
      </c>
      <c r="D96" s="76"/>
      <c r="E96" s="27"/>
      <c r="F96" s="27"/>
      <c r="G96" s="27"/>
      <c r="H96" s="27"/>
      <c r="I96" s="27"/>
      <c r="J96" s="27"/>
      <c r="K96" s="27"/>
      <c r="L96" s="284">
        <v>9000</v>
      </c>
      <c r="M96" s="27">
        <f t="shared" si="20"/>
        <v>9900</v>
      </c>
      <c r="N96" s="36">
        <f t="shared" si="21"/>
        <v>9900</v>
      </c>
      <c r="O96" s="36">
        <f t="shared" si="22"/>
        <v>9900</v>
      </c>
      <c r="P96" s="36">
        <f t="shared" si="24"/>
        <v>9900</v>
      </c>
      <c r="Q96" s="1473">
        <v>9000</v>
      </c>
      <c r="R96" s="194"/>
      <c r="S96" s="839">
        <v>9200</v>
      </c>
      <c r="T96" s="839">
        <v>9250</v>
      </c>
      <c r="U96" s="839">
        <v>8937</v>
      </c>
      <c r="V96" s="1548">
        <f t="shared" ref="V96:V97" si="26">(Q96-P96)/P96</f>
        <v>-9.0909090909090912E-2</v>
      </c>
      <c r="W96" s="839"/>
    </row>
    <row r="97" spans="1:23" ht="18">
      <c r="A97" s="1373">
        <v>56.2</v>
      </c>
      <c r="B97" s="852" t="s">
        <v>2261</v>
      </c>
      <c r="C97" s="637" t="s">
        <v>2110</v>
      </c>
      <c r="D97" s="76"/>
      <c r="E97" s="27"/>
      <c r="F97" s="27"/>
      <c r="G97" s="27"/>
      <c r="H97" s="27"/>
      <c r="I97" s="27"/>
      <c r="J97" s="27"/>
      <c r="K97" s="27"/>
      <c r="L97" s="284">
        <v>10000</v>
      </c>
      <c r="M97" s="27">
        <f t="shared" si="20"/>
        <v>11000</v>
      </c>
      <c r="N97" s="36">
        <f t="shared" si="21"/>
        <v>11000</v>
      </c>
      <c r="O97" s="36">
        <f t="shared" si="22"/>
        <v>11000</v>
      </c>
      <c r="P97" s="36">
        <f t="shared" si="24"/>
        <v>11000</v>
      </c>
      <c r="Q97" s="1473">
        <v>10000</v>
      </c>
      <c r="R97" s="194"/>
      <c r="S97" s="839">
        <v>11000</v>
      </c>
      <c r="T97" s="839">
        <v>11050</v>
      </c>
      <c r="U97" s="839">
        <v>9870</v>
      </c>
      <c r="V97" s="1549">
        <f t="shared" si="26"/>
        <v>-9.0909090909090912E-2</v>
      </c>
      <c r="W97" s="839"/>
    </row>
    <row r="98" spans="1:23" ht="18.75" thickBot="1">
      <c r="A98" s="1373">
        <v>56.3</v>
      </c>
      <c r="B98" s="852" t="s">
        <v>2262</v>
      </c>
      <c r="C98" s="637" t="s">
        <v>2110</v>
      </c>
      <c r="D98" s="76"/>
      <c r="E98" s="27"/>
      <c r="F98" s="27"/>
      <c r="G98" s="27"/>
      <c r="H98" s="27"/>
      <c r="I98" s="27"/>
      <c r="J98" s="27"/>
      <c r="K98" s="27"/>
      <c r="L98" s="284">
        <v>14500</v>
      </c>
      <c r="M98" s="27">
        <f t="shared" si="20"/>
        <v>15950.000000000002</v>
      </c>
      <c r="N98" s="36">
        <f t="shared" si="21"/>
        <v>15950.000000000002</v>
      </c>
      <c r="O98" s="36">
        <f t="shared" si="22"/>
        <v>15950.000000000002</v>
      </c>
      <c r="P98" s="36">
        <f t="shared" si="24"/>
        <v>15950.000000000002</v>
      </c>
      <c r="Q98" s="1473">
        <v>19500</v>
      </c>
      <c r="R98" s="194"/>
      <c r="S98" s="839">
        <v>22000</v>
      </c>
      <c r="T98" s="839">
        <v>22100</v>
      </c>
      <c r="U98" s="839">
        <v>19574</v>
      </c>
      <c r="V98" s="1550">
        <f>(Q98-P98)/P98</f>
        <v>0.22257053291536036</v>
      </c>
      <c r="W98" s="839"/>
    </row>
    <row r="99" spans="1:23" ht="15" customHeight="1">
      <c r="A99" s="786">
        <v>57</v>
      </c>
      <c r="B99" s="626" t="s">
        <v>807</v>
      </c>
      <c r="C99" s="627"/>
      <c r="D99" s="628"/>
      <c r="E99" s="603"/>
      <c r="F99" s="603"/>
      <c r="G99" s="603"/>
      <c r="H99" s="603"/>
      <c r="I99" s="603"/>
      <c r="J99" s="603"/>
      <c r="K99" s="603"/>
      <c r="L99" s="629"/>
      <c r="M99" s="603"/>
      <c r="N99" s="695"/>
      <c r="O99" s="695"/>
      <c r="P99" s="806"/>
      <c r="Q99" s="1261"/>
      <c r="R99" s="658"/>
      <c r="S99" s="839"/>
      <c r="T99" s="839"/>
      <c r="U99" s="839"/>
      <c r="V99" s="839"/>
      <c r="W99" s="839"/>
    </row>
    <row r="100" spans="1:23" ht="25.5">
      <c r="A100" s="859"/>
      <c r="B100" s="1357" t="s">
        <v>2912</v>
      </c>
      <c r="C100" s="637"/>
      <c r="D100" s="53"/>
      <c r="E100" s="27"/>
      <c r="F100" s="27"/>
      <c r="G100" s="27"/>
      <c r="H100" s="27"/>
      <c r="I100" s="27"/>
      <c r="J100" s="27"/>
      <c r="K100" s="27"/>
      <c r="L100" s="27"/>
      <c r="M100" s="27"/>
      <c r="N100" s="36"/>
      <c r="O100" s="36"/>
      <c r="P100" s="36"/>
      <c r="Q100" s="213"/>
      <c r="R100" s="194"/>
      <c r="S100" s="848" t="s">
        <v>2827</v>
      </c>
      <c r="T100" s="839"/>
      <c r="U100" s="839"/>
      <c r="V100" s="839"/>
      <c r="W100" s="839"/>
    </row>
    <row r="101" spans="1:23" ht="18">
      <c r="A101" s="862">
        <v>57.1</v>
      </c>
      <c r="B101" s="72" t="s">
        <v>808</v>
      </c>
      <c r="C101" s="637" t="s">
        <v>2136</v>
      </c>
      <c r="D101" s="53"/>
      <c r="E101" s="39"/>
      <c r="F101" s="39"/>
      <c r="G101" s="39"/>
      <c r="H101" s="39">
        <v>261400</v>
      </c>
      <c r="I101" s="27">
        <v>261400</v>
      </c>
      <c r="J101" s="27">
        <f>I101</f>
        <v>261400</v>
      </c>
      <c r="K101" s="27">
        <f t="shared" si="18"/>
        <v>261400</v>
      </c>
      <c r="L101" s="27">
        <f t="shared" si="19"/>
        <v>261400</v>
      </c>
      <c r="M101" s="27">
        <f t="shared" si="20"/>
        <v>287540</v>
      </c>
      <c r="N101" s="36">
        <f t="shared" si="21"/>
        <v>287540</v>
      </c>
      <c r="O101" s="36">
        <f t="shared" si="22"/>
        <v>287540</v>
      </c>
      <c r="P101" s="36">
        <f t="shared" si="24"/>
        <v>287540</v>
      </c>
      <c r="Q101" s="1473">
        <f>P101</f>
        <v>287540</v>
      </c>
      <c r="R101" s="194"/>
      <c r="S101" s="13">
        <v>304352</v>
      </c>
      <c r="T101" s="1316">
        <f>(S101-P101)/P101</f>
        <v>5.8468387007025106E-2</v>
      </c>
    </row>
    <row r="102" spans="1:23" ht="18">
      <c r="A102" s="862">
        <v>57.2</v>
      </c>
      <c r="B102" s="72" t="s">
        <v>809</v>
      </c>
      <c r="C102" s="637" t="s">
        <v>2136</v>
      </c>
      <c r="D102" s="53"/>
      <c r="E102" s="39"/>
      <c r="F102" s="39"/>
      <c r="G102" s="39"/>
      <c r="H102" s="39">
        <v>373000</v>
      </c>
      <c r="I102" s="27">
        <v>373000</v>
      </c>
      <c r="J102" s="27">
        <f t="shared" ref="J102:J105" si="27">I102</f>
        <v>373000</v>
      </c>
      <c r="K102" s="27">
        <f t="shared" si="18"/>
        <v>373000</v>
      </c>
      <c r="L102" s="27">
        <f t="shared" si="19"/>
        <v>373000</v>
      </c>
      <c r="M102" s="27">
        <f t="shared" si="20"/>
        <v>410300.00000000006</v>
      </c>
      <c r="N102" s="36">
        <f t="shared" si="21"/>
        <v>410300.00000000006</v>
      </c>
      <c r="O102" s="36">
        <f t="shared" si="22"/>
        <v>410300.00000000006</v>
      </c>
      <c r="P102" s="36">
        <f t="shared" si="24"/>
        <v>410300.00000000006</v>
      </c>
      <c r="Q102" s="1473">
        <f t="shared" ref="Q102:Q105" si="28">P102</f>
        <v>410300.00000000006</v>
      </c>
      <c r="R102" s="194"/>
      <c r="S102" s="13">
        <v>434289</v>
      </c>
      <c r="T102" s="1316">
        <f t="shared" ref="T102:T105" si="29">(S102-P102)/P102</f>
        <v>5.8466975383865312E-2</v>
      </c>
    </row>
    <row r="103" spans="1:23" ht="18">
      <c r="A103" s="862">
        <v>57.3</v>
      </c>
      <c r="B103" s="72" t="s">
        <v>810</v>
      </c>
      <c r="C103" s="637" t="s">
        <v>2136</v>
      </c>
      <c r="D103" s="53"/>
      <c r="E103" s="39"/>
      <c r="F103" s="39"/>
      <c r="G103" s="39"/>
      <c r="H103" s="39">
        <v>590600</v>
      </c>
      <c r="I103" s="27">
        <v>590600</v>
      </c>
      <c r="J103" s="27">
        <f t="shared" si="27"/>
        <v>590600</v>
      </c>
      <c r="K103" s="27">
        <f t="shared" si="18"/>
        <v>590600</v>
      </c>
      <c r="L103" s="27">
        <f t="shared" si="19"/>
        <v>590600</v>
      </c>
      <c r="M103" s="27">
        <f t="shared" si="20"/>
        <v>649660</v>
      </c>
      <c r="N103" s="36">
        <f t="shared" si="21"/>
        <v>649660</v>
      </c>
      <c r="O103" s="36">
        <f t="shared" si="22"/>
        <v>649660</v>
      </c>
      <c r="P103" s="36">
        <f t="shared" si="24"/>
        <v>649660</v>
      </c>
      <c r="Q103" s="1473">
        <f t="shared" si="28"/>
        <v>649660</v>
      </c>
      <c r="R103" s="194"/>
      <c r="S103" s="13">
        <v>687063</v>
      </c>
      <c r="T103" s="1316">
        <f t="shared" si="29"/>
        <v>5.7573192131268665E-2</v>
      </c>
    </row>
    <row r="104" spans="1:23" ht="18">
      <c r="A104" s="862">
        <v>57.4</v>
      </c>
      <c r="B104" s="72" t="s">
        <v>811</v>
      </c>
      <c r="C104" s="637" t="s">
        <v>2136</v>
      </c>
      <c r="D104" s="53"/>
      <c r="E104" s="39"/>
      <c r="F104" s="39"/>
      <c r="G104" s="39"/>
      <c r="H104" s="39">
        <v>800000</v>
      </c>
      <c r="I104" s="27">
        <v>800000</v>
      </c>
      <c r="J104" s="27">
        <f t="shared" si="27"/>
        <v>800000</v>
      </c>
      <c r="K104" s="27">
        <f t="shared" si="18"/>
        <v>800000</v>
      </c>
      <c r="L104" s="27">
        <f t="shared" si="19"/>
        <v>800000</v>
      </c>
      <c r="M104" s="27">
        <f t="shared" si="20"/>
        <v>880000.00000000012</v>
      </c>
      <c r="N104" s="36">
        <f t="shared" si="21"/>
        <v>880000.00000000012</v>
      </c>
      <c r="O104" s="36">
        <f t="shared" si="22"/>
        <v>880000.00000000012</v>
      </c>
      <c r="P104" s="36">
        <f t="shared" si="24"/>
        <v>880000.00000000012</v>
      </c>
      <c r="Q104" s="1473">
        <f t="shared" si="28"/>
        <v>880000.00000000012</v>
      </c>
      <c r="R104" s="194"/>
      <c r="T104" s="1316"/>
    </row>
    <row r="105" spans="1:23" ht="18">
      <c r="A105" s="862">
        <v>57.5</v>
      </c>
      <c r="B105" s="72" t="s">
        <v>812</v>
      </c>
      <c r="C105" s="637" t="s">
        <v>2136</v>
      </c>
      <c r="D105" s="53"/>
      <c r="E105" s="39"/>
      <c r="F105" s="39"/>
      <c r="G105" s="39"/>
      <c r="H105" s="39">
        <v>1023900</v>
      </c>
      <c r="I105" s="27">
        <v>1023900</v>
      </c>
      <c r="J105" s="27">
        <f t="shared" si="27"/>
        <v>1023900</v>
      </c>
      <c r="K105" s="27">
        <f t="shared" si="18"/>
        <v>1023900</v>
      </c>
      <c r="L105" s="27">
        <f t="shared" si="19"/>
        <v>1023900</v>
      </c>
      <c r="M105" s="27">
        <f t="shared" si="20"/>
        <v>1126290</v>
      </c>
      <c r="N105" s="36">
        <f t="shared" si="21"/>
        <v>1126290</v>
      </c>
      <c r="O105" s="36">
        <f t="shared" si="22"/>
        <v>1126290</v>
      </c>
      <c r="P105" s="36">
        <f t="shared" si="24"/>
        <v>1126290</v>
      </c>
      <c r="Q105" s="1473">
        <f t="shared" si="28"/>
        <v>1126290</v>
      </c>
      <c r="R105" s="194"/>
      <c r="S105" s="13">
        <v>1192143</v>
      </c>
      <c r="T105" s="1316">
        <f t="shared" si="29"/>
        <v>5.8468955597581439E-2</v>
      </c>
    </row>
    <row r="106" spans="1:23" ht="15.75">
      <c r="A106" s="863">
        <v>58</v>
      </c>
      <c r="B106" s="1374" t="s">
        <v>2318</v>
      </c>
      <c r="C106" s="630"/>
      <c r="D106" s="631"/>
      <c r="E106" s="631"/>
      <c r="F106" s="631"/>
      <c r="G106" s="631"/>
      <c r="H106" s="631"/>
      <c r="I106" s="631"/>
      <c r="J106" s="631"/>
      <c r="K106" s="632"/>
      <c r="L106" s="632"/>
      <c r="M106" s="604"/>
      <c r="N106" s="604"/>
      <c r="O106" s="695"/>
      <c r="P106" s="806"/>
      <c r="Q106" s="1261"/>
      <c r="R106" s="658"/>
      <c r="S106" s="223"/>
    </row>
    <row r="107" spans="1:23" ht="15.6" customHeight="1">
      <c r="A107" s="864"/>
      <c r="B107" s="633" t="s">
        <v>1633</v>
      </c>
      <c r="C107" s="221"/>
      <c r="D107" s="222"/>
      <c r="E107" s="222"/>
      <c r="F107" s="222"/>
      <c r="G107" s="222"/>
      <c r="H107" s="222"/>
      <c r="I107" s="222"/>
      <c r="J107" s="222"/>
      <c r="K107" s="117"/>
      <c r="L107" s="117"/>
      <c r="M107" s="34"/>
      <c r="N107" s="36"/>
      <c r="O107" s="36"/>
      <c r="P107" s="36"/>
      <c r="Q107" s="213"/>
      <c r="R107" s="194"/>
      <c r="S107" s="224"/>
    </row>
    <row r="108" spans="1:23" ht="39.75">
      <c r="A108" s="865"/>
      <c r="B108" s="634" t="s">
        <v>1634</v>
      </c>
      <c r="C108" s="637"/>
      <c r="D108" s="222"/>
      <c r="E108" s="222"/>
      <c r="F108" s="222"/>
      <c r="G108" s="222"/>
      <c r="H108" s="222"/>
      <c r="I108" s="222"/>
      <c r="J108" s="222"/>
      <c r="K108" s="117"/>
      <c r="L108" s="117"/>
      <c r="M108" s="34"/>
      <c r="N108" s="36"/>
      <c r="O108" s="36"/>
      <c r="P108" s="36"/>
      <c r="Q108" s="213"/>
      <c r="R108" s="194"/>
    </row>
    <row r="109" spans="1:23" ht="18">
      <c r="A109" s="1362">
        <f>A106+0.01</f>
        <v>58.01</v>
      </c>
      <c r="B109" s="634" t="s">
        <v>1635</v>
      </c>
      <c r="C109" s="637" t="s">
        <v>2136</v>
      </c>
      <c r="D109" s="222">
        <v>375</v>
      </c>
      <c r="E109" s="222">
        <v>375</v>
      </c>
      <c r="F109" s="222">
        <v>375</v>
      </c>
      <c r="G109" s="222">
        <v>375</v>
      </c>
      <c r="H109" s="222"/>
      <c r="I109" s="117"/>
      <c r="J109" s="222"/>
      <c r="K109" s="222"/>
      <c r="L109" s="117"/>
      <c r="M109" s="117"/>
      <c r="N109" s="36">
        <v>405</v>
      </c>
      <c r="O109" s="36">
        <f t="shared" si="22"/>
        <v>405</v>
      </c>
      <c r="P109" s="36">
        <f t="shared" si="24"/>
        <v>405</v>
      </c>
      <c r="Q109" s="213">
        <f>P109</f>
        <v>405</v>
      </c>
      <c r="R109" s="194"/>
    </row>
    <row r="110" spans="1:23" ht="27">
      <c r="A110" s="1362">
        <f>A109+0.01</f>
        <v>58.019999999999996</v>
      </c>
      <c r="B110" s="634" t="s">
        <v>1636</v>
      </c>
      <c r="C110" s="637" t="s">
        <v>2136</v>
      </c>
      <c r="D110" s="222">
        <v>3700</v>
      </c>
      <c r="E110" s="222">
        <v>3700</v>
      </c>
      <c r="F110" s="222">
        <v>3700</v>
      </c>
      <c r="G110" s="222">
        <v>3700</v>
      </c>
      <c r="H110" s="222"/>
      <c r="I110" s="117"/>
      <c r="J110" s="222"/>
      <c r="K110" s="222"/>
      <c r="L110" s="117"/>
      <c r="M110" s="117"/>
      <c r="N110" s="36">
        <v>3996</v>
      </c>
      <c r="O110" s="36">
        <f t="shared" si="22"/>
        <v>3996</v>
      </c>
      <c r="P110" s="36">
        <f t="shared" si="24"/>
        <v>3996</v>
      </c>
      <c r="Q110" s="213">
        <f t="shared" ref="Q110:Q115" si="30">P110</f>
        <v>3996</v>
      </c>
      <c r="R110" s="194"/>
    </row>
    <row r="111" spans="1:23" ht="27">
      <c r="A111" s="1362">
        <f t="shared" ref="A111:A115" si="31">A110+0.01</f>
        <v>58.029999999999994</v>
      </c>
      <c r="B111" s="634" t="s">
        <v>1637</v>
      </c>
      <c r="C111" s="637" t="s">
        <v>2136</v>
      </c>
      <c r="D111" s="222">
        <v>1050</v>
      </c>
      <c r="E111" s="222">
        <v>1102.5</v>
      </c>
      <c r="F111" s="222">
        <v>1102.5</v>
      </c>
      <c r="G111" s="222">
        <v>1102.5</v>
      </c>
      <c r="H111" s="222"/>
      <c r="I111" s="117"/>
      <c r="J111" s="222"/>
      <c r="K111" s="222"/>
      <c r="L111" s="117"/>
      <c r="M111" s="117"/>
      <c r="N111" s="36">
        <v>1193</v>
      </c>
      <c r="O111" s="36">
        <f t="shared" si="22"/>
        <v>1193</v>
      </c>
      <c r="P111" s="36">
        <f t="shared" si="24"/>
        <v>1193</v>
      </c>
      <c r="Q111" s="213">
        <f t="shared" si="30"/>
        <v>1193</v>
      </c>
      <c r="R111" s="194"/>
    </row>
    <row r="112" spans="1:23" ht="27">
      <c r="A112" s="1362">
        <f t="shared" si="31"/>
        <v>58.039999999999992</v>
      </c>
      <c r="B112" s="634" t="s">
        <v>1638</v>
      </c>
      <c r="C112" s="637" t="s">
        <v>2136</v>
      </c>
      <c r="D112" s="222">
        <v>4500</v>
      </c>
      <c r="E112" s="222">
        <v>4500</v>
      </c>
      <c r="F112" s="222">
        <v>4500</v>
      </c>
      <c r="G112" s="222">
        <v>4500</v>
      </c>
      <c r="H112" s="222"/>
      <c r="I112" s="117"/>
      <c r="J112" s="222"/>
      <c r="K112" s="222"/>
      <c r="L112" s="117"/>
      <c r="M112" s="117"/>
      <c r="N112" s="36">
        <v>4860</v>
      </c>
      <c r="O112" s="36">
        <f t="shared" si="22"/>
        <v>4860</v>
      </c>
      <c r="P112" s="36">
        <f t="shared" si="24"/>
        <v>4860</v>
      </c>
      <c r="Q112" s="213">
        <f t="shared" si="30"/>
        <v>4860</v>
      </c>
      <c r="R112" s="194"/>
    </row>
    <row r="113" spans="1:19" ht="18">
      <c r="A113" s="1362">
        <f t="shared" si="31"/>
        <v>58.04999999999999</v>
      </c>
      <c r="B113" s="635" t="s">
        <v>1639</v>
      </c>
      <c r="C113" s="637" t="s">
        <v>2136</v>
      </c>
      <c r="D113" s="222">
        <v>380</v>
      </c>
      <c r="E113" s="222">
        <v>399</v>
      </c>
      <c r="F113" s="222">
        <v>399</v>
      </c>
      <c r="G113" s="222">
        <v>399</v>
      </c>
      <c r="H113" s="222"/>
      <c r="I113" s="117"/>
      <c r="J113" s="222"/>
      <c r="K113" s="222"/>
      <c r="L113" s="117"/>
      <c r="M113" s="117"/>
      <c r="N113" s="36">
        <v>432</v>
      </c>
      <c r="O113" s="36">
        <f t="shared" si="22"/>
        <v>432</v>
      </c>
      <c r="P113" s="36">
        <f t="shared" si="24"/>
        <v>432</v>
      </c>
      <c r="Q113" s="213">
        <f t="shared" si="30"/>
        <v>432</v>
      </c>
      <c r="R113" s="194"/>
    </row>
    <row r="114" spans="1:19" ht="27">
      <c r="A114" s="1362">
        <f t="shared" si="31"/>
        <v>58.059999999999988</v>
      </c>
      <c r="B114" s="634" t="s">
        <v>1640</v>
      </c>
      <c r="C114" s="637" t="s">
        <v>2136</v>
      </c>
      <c r="D114" s="222">
        <v>90</v>
      </c>
      <c r="E114" s="222">
        <v>94.5</v>
      </c>
      <c r="F114" s="222">
        <v>94.5</v>
      </c>
      <c r="G114" s="222">
        <v>94.5</v>
      </c>
      <c r="H114" s="222"/>
      <c r="I114" s="117"/>
      <c r="J114" s="222"/>
      <c r="K114" s="222"/>
      <c r="L114" s="117"/>
      <c r="M114" s="117"/>
      <c r="N114" s="36">
        <v>103</v>
      </c>
      <c r="O114" s="36">
        <f t="shared" si="22"/>
        <v>103</v>
      </c>
      <c r="P114" s="36">
        <f t="shared" si="24"/>
        <v>103</v>
      </c>
      <c r="Q114" s="213">
        <f t="shared" si="30"/>
        <v>103</v>
      </c>
      <c r="R114" s="194"/>
    </row>
    <row r="115" spans="1:19" ht="18">
      <c r="A115" s="1362">
        <f t="shared" si="31"/>
        <v>58.069999999999986</v>
      </c>
      <c r="B115" s="635" t="s">
        <v>1641</v>
      </c>
      <c r="C115" s="637" t="s">
        <v>2136</v>
      </c>
      <c r="D115" s="222">
        <v>215</v>
      </c>
      <c r="E115" s="222">
        <v>215</v>
      </c>
      <c r="F115" s="222">
        <v>215</v>
      </c>
      <c r="G115" s="222">
        <v>215</v>
      </c>
      <c r="H115" s="222"/>
      <c r="I115" s="117"/>
      <c r="J115" s="222"/>
      <c r="K115" s="222"/>
      <c r="L115" s="117"/>
      <c r="M115" s="117"/>
      <c r="N115" s="36">
        <v>232</v>
      </c>
      <c r="O115" s="36">
        <f t="shared" si="22"/>
        <v>232</v>
      </c>
      <c r="P115" s="36">
        <f t="shared" si="24"/>
        <v>232</v>
      </c>
      <c r="Q115" s="213">
        <f t="shared" si="30"/>
        <v>232</v>
      </c>
      <c r="R115" s="194"/>
    </row>
    <row r="116" spans="1:19">
      <c r="A116" s="866"/>
      <c r="B116" s="807" t="s">
        <v>1642</v>
      </c>
      <c r="C116" s="808"/>
      <c r="D116" s="810"/>
      <c r="E116" s="810"/>
      <c r="F116" s="810"/>
      <c r="G116" s="810"/>
      <c r="H116" s="810"/>
      <c r="I116" s="804"/>
      <c r="J116" s="810"/>
      <c r="K116" s="810"/>
      <c r="L116" s="804"/>
      <c r="M116" s="804"/>
      <c r="N116" s="806"/>
      <c r="O116" s="806"/>
      <c r="P116" s="806"/>
      <c r="Q116" s="1261"/>
      <c r="R116" s="867"/>
    </row>
    <row r="117" spans="1:19" ht="27">
      <c r="A117" s="865"/>
      <c r="B117" s="634" t="s">
        <v>1643</v>
      </c>
      <c r="C117" s="637"/>
      <c r="D117" s="222"/>
      <c r="E117" s="222"/>
      <c r="F117" s="222"/>
      <c r="G117" s="222"/>
      <c r="H117" s="222"/>
      <c r="I117" s="117"/>
      <c r="J117" s="222"/>
      <c r="K117" s="222"/>
      <c r="L117" s="117"/>
      <c r="M117" s="117"/>
      <c r="N117" s="36"/>
      <c r="O117" s="36"/>
      <c r="P117" s="36"/>
      <c r="Q117" s="213"/>
      <c r="R117" s="194"/>
    </row>
    <row r="118" spans="1:19" ht="18">
      <c r="A118" s="865">
        <f>A115+0.01</f>
        <v>58.079999999999984</v>
      </c>
      <c r="B118" s="634" t="s">
        <v>2310</v>
      </c>
      <c r="C118" s="637" t="s">
        <v>2136</v>
      </c>
      <c r="D118" s="222"/>
      <c r="E118" s="222"/>
      <c r="F118" s="222"/>
      <c r="G118" s="222"/>
      <c r="H118" s="222"/>
      <c r="I118" s="117"/>
      <c r="J118" s="222"/>
      <c r="K118" s="222"/>
      <c r="L118" s="117"/>
      <c r="M118" s="117"/>
      <c r="N118" s="842" t="s">
        <v>2160</v>
      </c>
      <c r="O118" s="842" t="s">
        <v>2160</v>
      </c>
      <c r="P118" s="36">
        <v>2259</v>
      </c>
      <c r="Q118" s="213">
        <f>P118</f>
        <v>2259</v>
      </c>
      <c r="R118" s="1035"/>
      <c r="S118" s="839" t="s">
        <v>2309</v>
      </c>
    </row>
    <row r="119" spans="1:19" ht="18">
      <c r="A119" s="865">
        <f>A118+0.01</f>
        <v>58.089999999999982</v>
      </c>
      <c r="B119" s="634" t="s">
        <v>2311</v>
      </c>
      <c r="C119" s="637" t="s">
        <v>2136</v>
      </c>
      <c r="D119" s="222"/>
      <c r="E119" s="222"/>
      <c r="F119" s="222"/>
      <c r="G119" s="222"/>
      <c r="H119" s="222"/>
      <c r="I119" s="117"/>
      <c r="J119" s="222"/>
      <c r="K119" s="222"/>
      <c r="L119" s="117"/>
      <c r="M119" s="117"/>
      <c r="N119" s="842" t="s">
        <v>2160</v>
      </c>
      <c r="O119" s="842" t="s">
        <v>2160</v>
      </c>
      <c r="P119" s="36">
        <v>2151</v>
      </c>
      <c r="Q119" s="213">
        <f t="shared" ref="Q119:Q124" si="32">P119</f>
        <v>2151</v>
      </c>
      <c r="R119" s="1035"/>
      <c r="S119" s="839" t="s">
        <v>2309</v>
      </c>
    </row>
    <row r="120" spans="1:19" ht="18">
      <c r="A120" s="865">
        <f t="shared" ref="A120:A124" si="33">A119+0.01</f>
        <v>58.09999999999998</v>
      </c>
      <c r="B120" s="635" t="s">
        <v>1644</v>
      </c>
      <c r="C120" s="637" t="s">
        <v>2136</v>
      </c>
      <c r="D120" s="222">
        <v>2400</v>
      </c>
      <c r="E120" s="222">
        <v>2520</v>
      </c>
      <c r="F120" s="222">
        <v>2520</v>
      </c>
      <c r="G120" s="222">
        <v>2520</v>
      </c>
      <c r="H120" s="222"/>
      <c r="I120" s="117"/>
      <c r="J120" s="222"/>
      <c r="K120" s="222"/>
      <c r="L120" s="117"/>
      <c r="M120" s="117"/>
      <c r="N120" s="36">
        <v>2722</v>
      </c>
      <c r="O120" s="36">
        <f t="shared" si="22"/>
        <v>2722</v>
      </c>
      <c r="P120" s="36">
        <f t="shared" si="24"/>
        <v>2722</v>
      </c>
      <c r="Q120" s="213">
        <f t="shared" si="32"/>
        <v>2722</v>
      </c>
      <c r="R120" s="194"/>
    </row>
    <row r="121" spans="1:19" ht="18">
      <c r="A121" s="865">
        <f t="shared" si="33"/>
        <v>58.109999999999978</v>
      </c>
      <c r="B121" s="635" t="s">
        <v>2312</v>
      </c>
      <c r="C121" s="637" t="s">
        <v>2136</v>
      </c>
      <c r="D121" s="222"/>
      <c r="E121" s="222"/>
      <c r="F121" s="222"/>
      <c r="G121" s="222"/>
      <c r="H121" s="222"/>
      <c r="I121" s="117"/>
      <c r="J121" s="222"/>
      <c r="K121" s="222"/>
      <c r="L121" s="117"/>
      <c r="M121" s="117"/>
      <c r="N121" s="842" t="s">
        <v>2160</v>
      </c>
      <c r="O121" s="842" t="s">
        <v>2160</v>
      </c>
      <c r="P121" s="36">
        <v>2689</v>
      </c>
      <c r="Q121" s="213">
        <f t="shared" si="32"/>
        <v>2689</v>
      </c>
      <c r="R121" s="1035"/>
      <c r="S121" s="839" t="s">
        <v>2309</v>
      </c>
    </row>
    <row r="122" spans="1:19" ht="18">
      <c r="A122" s="865">
        <f t="shared" si="33"/>
        <v>58.119999999999976</v>
      </c>
      <c r="B122" s="635" t="s">
        <v>2313</v>
      </c>
      <c r="C122" s="637" t="s">
        <v>2136</v>
      </c>
      <c r="D122" s="222"/>
      <c r="E122" s="222"/>
      <c r="F122" s="222"/>
      <c r="G122" s="222"/>
      <c r="H122" s="222"/>
      <c r="I122" s="117"/>
      <c r="J122" s="222"/>
      <c r="K122" s="222"/>
      <c r="L122" s="117"/>
      <c r="M122" s="117"/>
      <c r="N122" s="842" t="s">
        <v>2160</v>
      </c>
      <c r="O122" s="842" t="s">
        <v>2160</v>
      </c>
      <c r="P122" s="36">
        <v>1560</v>
      </c>
      <c r="Q122" s="213">
        <f t="shared" si="32"/>
        <v>1560</v>
      </c>
      <c r="R122" s="1035"/>
      <c r="S122" s="839" t="s">
        <v>2309</v>
      </c>
    </row>
    <row r="123" spans="1:19" ht="18">
      <c r="A123" s="865">
        <f t="shared" si="33"/>
        <v>58.129999999999974</v>
      </c>
      <c r="B123" s="635" t="s">
        <v>1645</v>
      </c>
      <c r="C123" s="637" t="s">
        <v>2136</v>
      </c>
      <c r="D123" s="222">
        <v>2000</v>
      </c>
      <c r="E123" s="222">
        <v>2100</v>
      </c>
      <c r="F123" s="222">
        <v>2100</v>
      </c>
      <c r="G123" s="222">
        <v>2100</v>
      </c>
      <c r="H123" s="222"/>
      <c r="I123" s="117"/>
      <c r="J123" s="222"/>
      <c r="K123" s="222"/>
      <c r="L123" s="117"/>
      <c r="M123" s="117"/>
      <c r="N123" s="36">
        <v>2268</v>
      </c>
      <c r="O123" s="36">
        <f t="shared" si="22"/>
        <v>2268</v>
      </c>
      <c r="P123" s="36">
        <f t="shared" si="24"/>
        <v>2268</v>
      </c>
      <c r="Q123" s="213">
        <f t="shared" si="32"/>
        <v>2268</v>
      </c>
      <c r="R123" s="194"/>
    </row>
    <row r="124" spans="1:19" ht="18">
      <c r="A124" s="865">
        <f t="shared" si="33"/>
        <v>58.139999999999972</v>
      </c>
      <c r="B124" s="836" t="s">
        <v>1646</v>
      </c>
      <c r="C124" s="637" t="s">
        <v>2136</v>
      </c>
      <c r="D124" s="222"/>
      <c r="E124" s="222"/>
      <c r="F124" s="222"/>
      <c r="G124" s="222"/>
      <c r="H124" s="222"/>
      <c r="I124" s="117"/>
      <c r="J124" s="222"/>
      <c r="K124" s="222"/>
      <c r="L124" s="117"/>
      <c r="M124" s="117"/>
      <c r="N124" s="36">
        <v>3240</v>
      </c>
      <c r="O124" s="36">
        <f t="shared" si="22"/>
        <v>3240</v>
      </c>
      <c r="P124" s="36">
        <f t="shared" si="24"/>
        <v>3240</v>
      </c>
      <c r="Q124" s="213">
        <f t="shared" si="32"/>
        <v>3240</v>
      </c>
      <c r="R124" s="194"/>
    </row>
    <row r="125" spans="1:19">
      <c r="A125" s="866"/>
      <c r="B125" s="807" t="s">
        <v>1647</v>
      </c>
      <c r="C125" s="808"/>
      <c r="D125" s="810"/>
      <c r="E125" s="810"/>
      <c r="F125" s="810"/>
      <c r="G125" s="810"/>
      <c r="H125" s="810"/>
      <c r="I125" s="804"/>
      <c r="J125" s="810"/>
      <c r="K125" s="810"/>
      <c r="L125" s="804"/>
      <c r="M125" s="804"/>
      <c r="N125" s="806"/>
      <c r="O125" s="806"/>
      <c r="P125" s="806"/>
      <c r="Q125" s="1261"/>
      <c r="R125" s="867"/>
    </row>
    <row r="126" spans="1:19" ht="27">
      <c r="A126" s="865"/>
      <c r="B126" s="634" t="s">
        <v>1648</v>
      </c>
      <c r="C126" s="637"/>
      <c r="D126" s="222"/>
      <c r="E126" s="222"/>
      <c r="F126" s="222"/>
      <c r="G126" s="222"/>
      <c r="H126" s="222"/>
      <c r="I126" s="117"/>
      <c r="J126" s="222"/>
      <c r="K126" s="222"/>
      <c r="L126" s="117"/>
      <c r="M126" s="117"/>
      <c r="N126" s="36"/>
      <c r="O126" s="36"/>
      <c r="P126" s="36"/>
      <c r="Q126" s="213"/>
      <c r="R126" s="194"/>
    </row>
    <row r="127" spans="1:19" ht="18">
      <c r="A127" s="865">
        <f>A124+0.01</f>
        <v>58.14999999999997</v>
      </c>
      <c r="B127" s="635" t="s">
        <v>1649</v>
      </c>
      <c r="C127" s="637" t="s">
        <v>2136</v>
      </c>
      <c r="D127" s="222">
        <v>215</v>
      </c>
      <c r="E127" s="222">
        <v>225.75</v>
      </c>
      <c r="F127" s="222">
        <v>225.75</v>
      </c>
      <c r="G127" s="222">
        <v>225.75</v>
      </c>
      <c r="H127" s="222"/>
      <c r="I127" s="117"/>
      <c r="J127" s="222"/>
      <c r="K127" s="222"/>
      <c r="L127" s="117"/>
      <c r="M127" s="117"/>
      <c r="N127" s="36">
        <v>249</v>
      </c>
      <c r="O127" s="36">
        <f t="shared" si="22"/>
        <v>249</v>
      </c>
      <c r="P127" s="36">
        <f t="shared" si="24"/>
        <v>249</v>
      </c>
      <c r="Q127" s="213">
        <f>P127</f>
        <v>249</v>
      </c>
      <c r="R127" s="194"/>
    </row>
    <row r="128" spans="1:19" ht="18">
      <c r="A128" s="865">
        <f>A127+0.01</f>
        <v>58.159999999999968</v>
      </c>
      <c r="B128" s="635" t="s">
        <v>1650</v>
      </c>
      <c r="C128" s="637" t="s">
        <v>2136</v>
      </c>
      <c r="D128" s="222">
        <v>185</v>
      </c>
      <c r="E128" s="222">
        <v>185</v>
      </c>
      <c r="F128" s="222">
        <v>185</v>
      </c>
      <c r="G128" s="222">
        <v>185</v>
      </c>
      <c r="H128" s="222"/>
      <c r="I128" s="117"/>
      <c r="J128" s="222"/>
      <c r="K128" s="222"/>
      <c r="L128" s="117"/>
      <c r="M128" s="117"/>
      <c r="N128" s="36">
        <v>200</v>
      </c>
      <c r="O128" s="36">
        <f t="shared" si="22"/>
        <v>200</v>
      </c>
      <c r="P128" s="36">
        <f t="shared" si="24"/>
        <v>200</v>
      </c>
      <c r="Q128" s="213">
        <f t="shared" ref="Q128:Q135" si="34">P128</f>
        <v>200</v>
      </c>
      <c r="R128" s="194"/>
    </row>
    <row r="129" spans="1:18" ht="18">
      <c r="A129" s="865">
        <f t="shared" ref="A129:A135" si="35">A128+0.01</f>
        <v>58.169999999999966</v>
      </c>
      <c r="B129" s="635" t="s">
        <v>1651</v>
      </c>
      <c r="C129" s="637" t="s">
        <v>2136</v>
      </c>
      <c r="D129" s="222">
        <v>195</v>
      </c>
      <c r="E129" s="222">
        <v>195</v>
      </c>
      <c r="F129" s="222">
        <v>195</v>
      </c>
      <c r="G129" s="222">
        <v>195</v>
      </c>
      <c r="H129" s="222"/>
      <c r="I129" s="117"/>
      <c r="J129" s="222"/>
      <c r="K129" s="222"/>
      <c r="L129" s="117"/>
      <c r="M129" s="117"/>
      <c r="N129" s="36">
        <v>211</v>
      </c>
      <c r="O129" s="36">
        <f t="shared" si="22"/>
        <v>211</v>
      </c>
      <c r="P129" s="36">
        <f t="shared" si="24"/>
        <v>211</v>
      </c>
      <c r="Q129" s="213">
        <f t="shared" si="34"/>
        <v>211</v>
      </c>
      <c r="R129" s="194"/>
    </row>
    <row r="130" spans="1:18" ht="18">
      <c r="A130" s="865">
        <f t="shared" si="35"/>
        <v>58.179999999999964</v>
      </c>
      <c r="B130" s="635" t="s">
        <v>1652</v>
      </c>
      <c r="C130" s="637" t="s">
        <v>2136</v>
      </c>
      <c r="D130" s="222">
        <v>450</v>
      </c>
      <c r="E130" s="222">
        <v>450</v>
      </c>
      <c r="F130" s="222">
        <v>450</v>
      </c>
      <c r="G130" s="222">
        <v>450</v>
      </c>
      <c r="H130" s="222"/>
      <c r="I130" s="117"/>
      <c r="J130" s="222"/>
      <c r="K130" s="222"/>
      <c r="L130" s="117"/>
      <c r="M130" s="117"/>
      <c r="N130" s="36">
        <v>486</v>
      </c>
      <c r="O130" s="36">
        <f t="shared" ref="O130:O209" si="36">N130</f>
        <v>486</v>
      </c>
      <c r="P130" s="36">
        <f t="shared" si="24"/>
        <v>486</v>
      </c>
      <c r="Q130" s="213">
        <f t="shared" si="34"/>
        <v>486</v>
      </c>
      <c r="R130" s="194"/>
    </row>
    <row r="131" spans="1:18" ht="18">
      <c r="A131" s="865">
        <f t="shared" si="35"/>
        <v>58.189999999999962</v>
      </c>
      <c r="B131" s="635" t="s">
        <v>1653</v>
      </c>
      <c r="C131" s="637" t="s">
        <v>2136</v>
      </c>
      <c r="D131" s="222">
        <v>480</v>
      </c>
      <c r="E131" s="222">
        <v>480</v>
      </c>
      <c r="F131" s="222">
        <v>480</v>
      </c>
      <c r="G131" s="222">
        <v>480</v>
      </c>
      <c r="H131" s="222"/>
      <c r="I131" s="117"/>
      <c r="J131" s="222"/>
      <c r="K131" s="222"/>
      <c r="L131" s="117"/>
      <c r="M131" s="117"/>
      <c r="N131" s="36">
        <v>518</v>
      </c>
      <c r="O131" s="36">
        <f t="shared" si="36"/>
        <v>518</v>
      </c>
      <c r="P131" s="36">
        <f t="shared" si="24"/>
        <v>518</v>
      </c>
      <c r="Q131" s="213">
        <f t="shared" si="34"/>
        <v>518</v>
      </c>
      <c r="R131" s="194"/>
    </row>
    <row r="132" spans="1:18" ht="18">
      <c r="A132" s="865">
        <f t="shared" si="35"/>
        <v>58.19999999999996</v>
      </c>
      <c r="B132" s="635" t="s">
        <v>1654</v>
      </c>
      <c r="C132" s="637" t="s">
        <v>2136</v>
      </c>
      <c r="D132" s="222">
        <v>625</v>
      </c>
      <c r="E132" s="222">
        <v>625</v>
      </c>
      <c r="F132" s="222">
        <v>625</v>
      </c>
      <c r="G132" s="222">
        <v>625</v>
      </c>
      <c r="H132" s="222"/>
      <c r="I132" s="117"/>
      <c r="J132" s="222"/>
      <c r="K132" s="222"/>
      <c r="L132" s="117"/>
      <c r="M132" s="117"/>
      <c r="N132" s="36">
        <v>675</v>
      </c>
      <c r="O132" s="36">
        <f t="shared" si="36"/>
        <v>675</v>
      </c>
      <c r="P132" s="36">
        <f t="shared" si="24"/>
        <v>675</v>
      </c>
      <c r="Q132" s="213">
        <f t="shared" si="34"/>
        <v>675</v>
      </c>
      <c r="R132" s="194"/>
    </row>
    <row r="133" spans="1:18" ht="18">
      <c r="A133" s="865">
        <f t="shared" si="35"/>
        <v>58.209999999999958</v>
      </c>
      <c r="B133" s="635" t="s">
        <v>1655</v>
      </c>
      <c r="C133" s="637" t="s">
        <v>2136</v>
      </c>
      <c r="D133" s="222">
        <v>650</v>
      </c>
      <c r="E133" s="222">
        <v>650</v>
      </c>
      <c r="F133" s="222">
        <v>650</v>
      </c>
      <c r="G133" s="222">
        <v>650</v>
      </c>
      <c r="H133" s="222"/>
      <c r="I133" s="117"/>
      <c r="J133" s="222"/>
      <c r="K133" s="222"/>
      <c r="L133" s="117"/>
      <c r="M133" s="117"/>
      <c r="N133" s="36">
        <v>702</v>
      </c>
      <c r="O133" s="36">
        <f t="shared" si="36"/>
        <v>702</v>
      </c>
      <c r="P133" s="36">
        <f t="shared" si="24"/>
        <v>702</v>
      </c>
      <c r="Q133" s="213">
        <f t="shared" si="34"/>
        <v>702</v>
      </c>
      <c r="R133" s="194"/>
    </row>
    <row r="134" spans="1:18" ht="18">
      <c r="A134" s="865">
        <f t="shared" si="35"/>
        <v>58.219999999999956</v>
      </c>
      <c r="B134" s="635" t="s">
        <v>1656</v>
      </c>
      <c r="C134" s="637" t="s">
        <v>2136</v>
      </c>
      <c r="D134" s="222">
        <v>215</v>
      </c>
      <c r="E134" s="222">
        <v>215</v>
      </c>
      <c r="F134" s="222">
        <v>215</v>
      </c>
      <c r="G134" s="222">
        <v>215</v>
      </c>
      <c r="H134" s="222"/>
      <c r="I134" s="117"/>
      <c r="J134" s="222"/>
      <c r="K134" s="222"/>
      <c r="L134" s="117"/>
      <c r="M134" s="117"/>
      <c r="N134" s="36">
        <v>232</v>
      </c>
      <c r="O134" s="36">
        <f t="shared" si="36"/>
        <v>232</v>
      </c>
      <c r="P134" s="36">
        <f t="shared" si="24"/>
        <v>232</v>
      </c>
      <c r="Q134" s="213">
        <f t="shared" si="34"/>
        <v>232</v>
      </c>
      <c r="R134" s="194"/>
    </row>
    <row r="135" spans="1:18" ht="27">
      <c r="A135" s="868">
        <f t="shared" si="35"/>
        <v>58.229999999999954</v>
      </c>
      <c r="B135" s="634" t="s">
        <v>1657</v>
      </c>
      <c r="C135" s="637" t="s">
        <v>2136</v>
      </c>
      <c r="D135" s="222">
        <v>100</v>
      </c>
      <c r="E135" s="222">
        <v>105</v>
      </c>
      <c r="F135" s="222">
        <v>105</v>
      </c>
      <c r="G135" s="222">
        <v>105</v>
      </c>
      <c r="H135" s="222"/>
      <c r="I135" s="117"/>
      <c r="J135" s="222"/>
      <c r="K135" s="222"/>
      <c r="L135" s="117"/>
      <c r="M135" s="117"/>
      <c r="N135" s="143">
        <v>113</v>
      </c>
      <c r="O135" s="143">
        <f t="shared" si="36"/>
        <v>113</v>
      </c>
      <c r="P135" s="143">
        <f t="shared" si="24"/>
        <v>113</v>
      </c>
      <c r="Q135" s="213">
        <f t="shared" si="34"/>
        <v>113</v>
      </c>
      <c r="R135" s="194"/>
    </row>
    <row r="136" spans="1:18">
      <c r="A136" s="866"/>
      <c r="B136" s="807" t="s">
        <v>1658</v>
      </c>
      <c r="C136" s="808"/>
      <c r="D136" s="810"/>
      <c r="E136" s="810"/>
      <c r="F136" s="810"/>
      <c r="G136" s="810"/>
      <c r="H136" s="810"/>
      <c r="I136" s="804"/>
      <c r="J136" s="810"/>
      <c r="K136" s="810"/>
      <c r="L136" s="804"/>
      <c r="M136" s="804"/>
      <c r="N136" s="806"/>
      <c r="O136" s="806"/>
      <c r="P136" s="806"/>
      <c r="Q136" s="1261"/>
      <c r="R136" s="867"/>
    </row>
    <row r="137" spans="1:18" ht="51">
      <c r="A137" s="865"/>
      <c r="B137" s="636" t="s">
        <v>1659</v>
      </c>
      <c r="C137" s="225"/>
      <c r="D137" s="222"/>
      <c r="E137" s="222"/>
      <c r="F137" s="222"/>
      <c r="G137" s="222"/>
      <c r="H137" s="222"/>
      <c r="I137" s="117"/>
      <c r="J137" s="222"/>
      <c r="K137" s="222"/>
      <c r="L137" s="117"/>
      <c r="M137" s="117"/>
      <c r="N137" s="36"/>
      <c r="O137" s="36"/>
      <c r="P137" s="36"/>
      <c r="Q137" s="213"/>
      <c r="R137" s="194"/>
    </row>
    <row r="138" spans="1:18" ht="51">
      <c r="A138" s="868">
        <f>A135+0.01</f>
        <v>58.239999999999952</v>
      </c>
      <c r="B138" s="636" t="s">
        <v>1660</v>
      </c>
      <c r="C138" s="637" t="s">
        <v>2136</v>
      </c>
      <c r="D138" s="226">
        <v>20790</v>
      </c>
      <c r="E138" s="222">
        <v>20790</v>
      </c>
      <c r="F138" s="222">
        <v>20790</v>
      </c>
      <c r="G138" s="222">
        <v>20790</v>
      </c>
      <c r="H138" s="222"/>
      <c r="I138" s="117"/>
      <c r="J138" s="222"/>
      <c r="K138" s="222"/>
      <c r="L138" s="117"/>
      <c r="M138" s="117"/>
      <c r="N138" s="143">
        <v>22453</v>
      </c>
      <c r="O138" s="143">
        <f t="shared" si="36"/>
        <v>22453</v>
      </c>
      <c r="P138" s="143">
        <f t="shared" si="24"/>
        <v>22453</v>
      </c>
      <c r="Q138" s="1203">
        <f>P138</f>
        <v>22453</v>
      </c>
      <c r="R138" s="194"/>
    </row>
    <row r="139" spans="1:18" ht="18">
      <c r="A139" s="868">
        <f>A138+0.01</f>
        <v>58.24999999999995</v>
      </c>
      <c r="B139" s="1051" t="s">
        <v>1661</v>
      </c>
      <c r="C139" s="637" t="s">
        <v>2110</v>
      </c>
      <c r="D139" s="222">
        <v>4500</v>
      </c>
      <c r="E139" s="222">
        <v>4500</v>
      </c>
      <c r="F139" s="222">
        <v>4500</v>
      </c>
      <c r="G139" s="222">
        <v>4500</v>
      </c>
      <c r="H139" s="222"/>
      <c r="I139" s="117"/>
      <c r="J139" s="222"/>
      <c r="K139" s="222"/>
      <c r="L139" s="117"/>
      <c r="M139" s="117"/>
      <c r="N139" s="36">
        <v>4860</v>
      </c>
      <c r="O139" s="36">
        <f t="shared" si="36"/>
        <v>4860</v>
      </c>
      <c r="P139" s="36">
        <f t="shared" si="24"/>
        <v>4860</v>
      </c>
      <c r="Q139" s="1203">
        <f t="shared" ref="Q139:Q149" si="37">P139</f>
        <v>4860</v>
      </c>
      <c r="R139" s="194"/>
    </row>
    <row r="140" spans="1:18" ht="18">
      <c r="A140" s="868">
        <f t="shared" ref="A140:A148" si="38">A139+0.01</f>
        <v>58.259999999999948</v>
      </c>
      <c r="B140" s="1051" t="s">
        <v>1662</v>
      </c>
      <c r="C140" s="637" t="s">
        <v>2110</v>
      </c>
      <c r="D140" s="222">
        <v>3900</v>
      </c>
      <c r="E140" s="222">
        <v>3900</v>
      </c>
      <c r="F140" s="222">
        <v>3900</v>
      </c>
      <c r="G140" s="222">
        <v>3900</v>
      </c>
      <c r="H140" s="222"/>
      <c r="I140" s="117"/>
      <c r="J140" s="222"/>
      <c r="K140" s="222"/>
      <c r="L140" s="117"/>
      <c r="M140" s="117"/>
      <c r="N140" s="36">
        <v>4212</v>
      </c>
      <c r="O140" s="36">
        <f t="shared" si="36"/>
        <v>4212</v>
      </c>
      <c r="P140" s="36">
        <f t="shared" si="24"/>
        <v>4212</v>
      </c>
      <c r="Q140" s="1203">
        <f t="shared" si="37"/>
        <v>4212</v>
      </c>
      <c r="R140" s="194"/>
    </row>
    <row r="141" spans="1:18" ht="18">
      <c r="A141" s="868">
        <f t="shared" si="38"/>
        <v>58.269999999999946</v>
      </c>
      <c r="B141" s="1051" t="s">
        <v>1663</v>
      </c>
      <c r="C141" s="637" t="s">
        <v>2110</v>
      </c>
      <c r="D141" s="227">
        <v>500</v>
      </c>
      <c r="E141" s="222">
        <v>500</v>
      </c>
      <c r="F141" s="222">
        <v>500</v>
      </c>
      <c r="G141" s="222">
        <v>500</v>
      </c>
      <c r="H141" s="222"/>
      <c r="I141" s="117"/>
      <c r="J141" s="222"/>
      <c r="K141" s="222"/>
      <c r="L141" s="117"/>
      <c r="M141" s="117"/>
      <c r="N141" s="36">
        <v>540</v>
      </c>
      <c r="O141" s="36">
        <f t="shared" si="36"/>
        <v>540</v>
      </c>
      <c r="P141" s="36">
        <f t="shared" si="24"/>
        <v>540</v>
      </c>
      <c r="Q141" s="1203">
        <f t="shared" si="37"/>
        <v>540</v>
      </c>
      <c r="R141" s="194"/>
    </row>
    <row r="142" spans="1:18" ht="18">
      <c r="A142" s="868">
        <f t="shared" si="38"/>
        <v>58.279999999999944</v>
      </c>
      <c r="B142" s="1051" t="s">
        <v>1664</v>
      </c>
      <c r="C142" s="637" t="s">
        <v>2110</v>
      </c>
      <c r="D142" s="227">
        <v>500</v>
      </c>
      <c r="E142" s="222">
        <v>500</v>
      </c>
      <c r="F142" s="222">
        <v>500</v>
      </c>
      <c r="G142" s="222">
        <v>500</v>
      </c>
      <c r="H142" s="222"/>
      <c r="I142" s="117"/>
      <c r="J142" s="222"/>
      <c r="K142" s="222"/>
      <c r="L142" s="117"/>
      <c r="M142" s="117"/>
      <c r="N142" s="36">
        <v>540</v>
      </c>
      <c r="O142" s="36">
        <f t="shared" si="36"/>
        <v>540</v>
      </c>
      <c r="P142" s="36">
        <f t="shared" si="24"/>
        <v>540</v>
      </c>
      <c r="Q142" s="1203">
        <f t="shared" si="37"/>
        <v>540</v>
      </c>
      <c r="R142" s="194"/>
    </row>
    <row r="143" spans="1:18" ht="18">
      <c r="A143" s="868">
        <f t="shared" si="38"/>
        <v>58.289999999999942</v>
      </c>
      <c r="B143" s="1051" t="s">
        <v>1665</v>
      </c>
      <c r="C143" s="637" t="s">
        <v>2110</v>
      </c>
      <c r="D143" s="227">
        <v>600</v>
      </c>
      <c r="E143" s="222">
        <v>630</v>
      </c>
      <c r="F143" s="222">
        <v>630</v>
      </c>
      <c r="G143" s="222">
        <v>630</v>
      </c>
      <c r="H143" s="222"/>
      <c r="I143" s="117"/>
      <c r="J143" s="222"/>
      <c r="K143" s="222"/>
      <c r="L143" s="117"/>
      <c r="M143" s="117"/>
      <c r="N143" s="36">
        <v>680</v>
      </c>
      <c r="O143" s="36">
        <f t="shared" si="36"/>
        <v>680</v>
      </c>
      <c r="P143" s="36">
        <f t="shared" si="24"/>
        <v>680</v>
      </c>
      <c r="Q143" s="1203">
        <f t="shared" si="37"/>
        <v>680</v>
      </c>
      <c r="R143" s="194"/>
    </row>
    <row r="144" spans="1:18" ht="18">
      <c r="A144" s="868">
        <f t="shared" si="38"/>
        <v>58.29999999999994</v>
      </c>
      <c r="B144" s="1051" t="s">
        <v>1666</v>
      </c>
      <c r="C144" s="637" t="s">
        <v>2110</v>
      </c>
      <c r="D144" s="227">
        <v>150</v>
      </c>
      <c r="E144" s="222">
        <v>150</v>
      </c>
      <c r="F144" s="222">
        <v>150</v>
      </c>
      <c r="G144" s="222">
        <v>150</v>
      </c>
      <c r="H144" s="222"/>
      <c r="I144" s="117"/>
      <c r="J144" s="222"/>
      <c r="K144" s="222"/>
      <c r="L144" s="117"/>
      <c r="M144" s="117"/>
      <c r="N144" s="36">
        <v>162</v>
      </c>
      <c r="O144" s="36">
        <f t="shared" si="36"/>
        <v>162</v>
      </c>
      <c r="P144" s="36">
        <f t="shared" si="24"/>
        <v>162</v>
      </c>
      <c r="Q144" s="1203">
        <f t="shared" si="37"/>
        <v>162</v>
      </c>
      <c r="R144" s="194"/>
    </row>
    <row r="145" spans="1:18" ht="18">
      <c r="A145" s="868">
        <f t="shared" si="38"/>
        <v>58.309999999999938</v>
      </c>
      <c r="B145" s="1051" t="s">
        <v>1667</v>
      </c>
      <c r="C145" s="637" t="s">
        <v>2136</v>
      </c>
      <c r="D145" s="227">
        <v>450</v>
      </c>
      <c r="E145" s="222">
        <v>450</v>
      </c>
      <c r="F145" s="222">
        <v>450</v>
      </c>
      <c r="G145" s="222">
        <v>450</v>
      </c>
      <c r="H145" s="222"/>
      <c r="I145" s="117"/>
      <c r="J145" s="222"/>
      <c r="K145" s="222"/>
      <c r="L145" s="117"/>
      <c r="M145" s="117"/>
      <c r="N145" s="36">
        <v>486</v>
      </c>
      <c r="O145" s="36">
        <f t="shared" si="36"/>
        <v>486</v>
      </c>
      <c r="P145" s="36">
        <f t="shared" si="24"/>
        <v>486</v>
      </c>
      <c r="Q145" s="1203">
        <f t="shared" si="37"/>
        <v>486</v>
      </c>
      <c r="R145" s="194"/>
    </row>
    <row r="146" spans="1:18" ht="38.25">
      <c r="A146" s="868">
        <f t="shared" si="38"/>
        <v>58.319999999999936</v>
      </c>
      <c r="B146" s="636" t="s">
        <v>1668</v>
      </c>
      <c r="C146" s="637" t="s">
        <v>2136</v>
      </c>
      <c r="D146" s="227">
        <v>3500</v>
      </c>
      <c r="E146" s="222">
        <v>3675</v>
      </c>
      <c r="F146" s="222">
        <v>3675</v>
      </c>
      <c r="G146" s="222">
        <v>3675</v>
      </c>
      <c r="H146" s="222"/>
      <c r="I146" s="117"/>
      <c r="J146" s="222"/>
      <c r="K146" s="222"/>
      <c r="L146" s="117"/>
      <c r="M146" s="117"/>
      <c r="N146" s="143">
        <v>3969</v>
      </c>
      <c r="O146" s="143">
        <f t="shared" si="36"/>
        <v>3969</v>
      </c>
      <c r="P146" s="143">
        <f t="shared" si="24"/>
        <v>3969</v>
      </c>
      <c r="Q146" s="1203">
        <f t="shared" si="37"/>
        <v>3969</v>
      </c>
      <c r="R146" s="194"/>
    </row>
    <row r="147" spans="1:18" ht="25.5">
      <c r="A147" s="868">
        <f t="shared" si="38"/>
        <v>58.329999999999934</v>
      </c>
      <c r="B147" s="636" t="s">
        <v>1669</v>
      </c>
      <c r="C147" s="637" t="s">
        <v>2110</v>
      </c>
      <c r="D147" s="227">
        <v>2250</v>
      </c>
      <c r="E147" s="222">
        <v>2250</v>
      </c>
      <c r="F147" s="222">
        <v>2250</v>
      </c>
      <c r="G147" s="222">
        <v>2250</v>
      </c>
      <c r="H147" s="222"/>
      <c r="I147" s="117"/>
      <c r="J147" s="222"/>
      <c r="K147" s="222"/>
      <c r="L147" s="117"/>
      <c r="M147" s="117"/>
      <c r="N147" s="143">
        <v>2430</v>
      </c>
      <c r="O147" s="143">
        <f t="shared" si="36"/>
        <v>2430</v>
      </c>
      <c r="P147" s="143">
        <f t="shared" si="24"/>
        <v>2430</v>
      </c>
      <c r="Q147" s="1203">
        <f t="shared" si="37"/>
        <v>2430</v>
      </c>
      <c r="R147" s="194"/>
    </row>
    <row r="148" spans="1:18" ht="22.15" customHeight="1">
      <c r="A148" s="868">
        <f t="shared" si="38"/>
        <v>58.339999999999932</v>
      </c>
      <c r="B148" s="636" t="s">
        <v>1670</v>
      </c>
      <c r="C148" s="637" t="s">
        <v>2110</v>
      </c>
      <c r="D148" s="227">
        <v>2750</v>
      </c>
      <c r="E148" s="222">
        <v>2750</v>
      </c>
      <c r="F148" s="222">
        <v>2750</v>
      </c>
      <c r="G148" s="222">
        <v>2750</v>
      </c>
      <c r="H148" s="222"/>
      <c r="I148" s="117"/>
      <c r="J148" s="222"/>
      <c r="K148" s="222"/>
      <c r="L148" s="117"/>
      <c r="M148" s="117"/>
      <c r="N148" s="36">
        <v>2970</v>
      </c>
      <c r="O148" s="36">
        <f t="shared" si="36"/>
        <v>2970</v>
      </c>
      <c r="P148" s="36">
        <f t="shared" si="24"/>
        <v>2970</v>
      </c>
      <c r="Q148" s="1203">
        <f t="shared" si="37"/>
        <v>2970</v>
      </c>
      <c r="R148" s="194"/>
    </row>
    <row r="149" spans="1:18" ht="21" customHeight="1">
      <c r="A149" s="868">
        <f>A148+0.01</f>
        <v>58.34999999999993</v>
      </c>
      <c r="B149" s="636" t="s">
        <v>1671</v>
      </c>
      <c r="C149" s="637" t="s">
        <v>2110</v>
      </c>
      <c r="D149" s="227">
        <v>1150</v>
      </c>
      <c r="E149" s="222">
        <v>1207.5</v>
      </c>
      <c r="F149" s="222">
        <v>1207.5</v>
      </c>
      <c r="G149" s="222">
        <v>1207.5</v>
      </c>
      <c r="H149" s="222"/>
      <c r="I149" s="117"/>
      <c r="J149" s="222"/>
      <c r="K149" s="222"/>
      <c r="L149" s="117"/>
      <c r="M149" s="117"/>
      <c r="N149" s="36">
        <v>1307</v>
      </c>
      <c r="O149" s="36">
        <f t="shared" si="36"/>
        <v>1307</v>
      </c>
      <c r="P149" s="36">
        <f t="shared" si="24"/>
        <v>1307</v>
      </c>
      <c r="Q149" s="1203">
        <f t="shared" si="37"/>
        <v>1307</v>
      </c>
      <c r="R149" s="194"/>
    </row>
    <row r="150" spans="1:18" ht="18">
      <c r="A150" s="866"/>
      <c r="B150" s="807" t="s">
        <v>1672</v>
      </c>
      <c r="C150" s="811"/>
      <c r="D150" s="810"/>
      <c r="E150" s="810"/>
      <c r="F150" s="810"/>
      <c r="G150" s="810"/>
      <c r="H150" s="810"/>
      <c r="I150" s="804"/>
      <c r="J150" s="810"/>
      <c r="K150" s="810"/>
      <c r="L150" s="804"/>
      <c r="M150" s="804"/>
      <c r="N150" s="806"/>
      <c r="O150" s="806"/>
      <c r="P150" s="806"/>
      <c r="Q150" s="1261"/>
      <c r="R150" s="867"/>
    </row>
    <row r="151" spans="1:18" ht="30" customHeight="1">
      <c r="A151" s="865"/>
      <c r="B151" s="634" t="s">
        <v>1673</v>
      </c>
      <c r="C151" s="637"/>
      <c r="D151" s="222"/>
      <c r="E151" s="222"/>
      <c r="F151" s="222"/>
      <c r="G151" s="222"/>
      <c r="H151" s="222"/>
      <c r="I151" s="117"/>
      <c r="J151" s="222"/>
      <c r="K151" s="222"/>
      <c r="L151" s="117"/>
      <c r="M151" s="117"/>
      <c r="N151" s="36"/>
      <c r="O151" s="36"/>
      <c r="P151" s="36"/>
      <c r="Q151" s="213"/>
      <c r="R151" s="194"/>
    </row>
    <row r="152" spans="1:18" ht="27">
      <c r="A152" s="1363">
        <f>A149+0.01</f>
        <v>58.359999999999928</v>
      </c>
      <c r="B152" s="634" t="s">
        <v>1674</v>
      </c>
      <c r="C152" s="637" t="s">
        <v>2162</v>
      </c>
      <c r="D152" s="228">
        <v>375</v>
      </c>
      <c r="E152" s="222">
        <v>393.75</v>
      </c>
      <c r="F152" s="222">
        <v>393.75</v>
      </c>
      <c r="G152" s="222">
        <v>393.75</v>
      </c>
      <c r="H152" s="222"/>
      <c r="I152" s="117"/>
      <c r="J152" s="222"/>
      <c r="K152" s="222"/>
      <c r="L152" s="117"/>
      <c r="M152" s="117"/>
      <c r="N152" s="143">
        <v>427</v>
      </c>
      <c r="O152" s="143">
        <f t="shared" si="36"/>
        <v>427</v>
      </c>
      <c r="P152" s="143">
        <f t="shared" ref="P152:P226" si="39">O152</f>
        <v>427</v>
      </c>
      <c r="Q152" s="1203">
        <f>P152</f>
        <v>427</v>
      </c>
      <c r="R152" s="194"/>
    </row>
    <row r="153" spans="1:18" ht="27">
      <c r="A153" s="1363">
        <f>A152+0.01</f>
        <v>58.369999999999926</v>
      </c>
      <c r="B153" s="634" t="s">
        <v>1675</v>
      </c>
      <c r="C153" s="637" t="s">
        <v>2162</v>
      </c>
      <c r="D153" s="228">
        <v>600</v>
      </c>
      <c r="E153" s="222">
        <v>630</v>
      </c>
      <c r="F153" s="222">
        <v>630</v>
      </c>
      <c r="G153" s="222">
        <v>630</v>
      </c>
      <c r="H153" s="222"/>
      <c r="I153" s="117"/>
      <c r="J153" s="222"/>
      <c r="K153" s="222"/>
      <c r="L153" s="117"/>
      <c r="M153" s="117"/>
      <c r="N153" s="143">
        <v>680</v>
      </c>
      <c r="O153" s="143">
        <f t="shared" si="36"/>
        <v>680</v>
      </c>
      <c r="P153" s="143">
        <f t="shared" si="39"/>
        <v>680</v>
      </c>
      <c r="Q153" s="1203">
        <f t="shared" ref="Q153:Q156" si="40">P153</f>
        <v>680</v>
      </c>
      <c r="R153" s="194"/>
    </row>
    <row r="154" spans="1:18" ht="41.45" customHeight="1">
      <c r="A154" s="1363">
        <f t="shared" ref="A154:A156" si="41">A153+0.01</f>
        <v>58.379999999999924</v>
      </c>
      <c r="B154" s="634" t="s">
        <v>1676</v>
      </c>
      <c r="C154" s="637" t="s">
        <v>2162</v>
      </c>
      <c r="D154" s="228">
        <v>1700</v>
      </c>
      <c r="E154" s="222">
        <v>1785</v>
      </c>
      <c r="F154" s="222">
        <v>1785</v>
      </c>
      <c r="G154" s="222">
        <v>1785</v>
      </c>
      <c r="H154" s="222"/>
      <c r="I154" s="117"/>
      <c r="J154" s="222"/>
      <c r="K154" s="222"/>
      <c r="L154" s="117"/>
      <c r="M154" s="117"/>
      <c r="N154" s="143">
        <v>1928</v>
      </c>
      <c r="O154" s="143">
        <f t="shared" si="36"/>
        <v>1928</v>
      </c>
      <c r="P154" s="143">
        <f t="shared" si="39"/>
        <v>1928</v>
      </c>
      <c r="Q154" s="1203">
        <f t="shared" si="40"/>
        <v>1928</v>
      </c>
      <c r="R154" s="194"/>
    </row>
    <row r="155" spans="1:18" ht="39.75">
      <c r="A155" s="1363">
        <f t="shared" si="41"/>
        <v>58.389999999999922</v>
      </c>
      <c r="B155" s="634" t="s">
        <v>1677</v>
      </c>
      <c r="C155" s="637" t="s">
        <v>1771</v>
      </c>
      <c r="D155" s="228">
        <v>300</v>
      </c>
      <c r="E155" s="222">
        <v>315</v>
      </c>
      <c r="F155" s="222">
        <v>315</v>
      </c>
      <c r="G155" s="222">
        <v>315</v>
      </c>
      <c r="H155" s="222"/>
      <c r="I155" s="117"/>
      <c r="J155" s="222"/>
      <c r="K155" s="222"/>
      <c r="L155" s="117"/>
      <c r="M155" s="117"/>
      <c r="N155" s="143">
        <v>340</v>
      </c>
      <c r="O155" s="143">
        <f t="shared" si="36"/>
        <v>340</v>
      </c>
      <c r="P155" s="143">
        <f t="shared" si="39"/>
        <v>340</v>
      </c>
      <c r="Q155" s="1203">
        <f t="shared" si="40"/>
        <v>340</v>
      </c>
      <c r="R155" s="194"/>
    </row>
    <row r="156" spans="1:18" ht="27">
      <c r="A156" s="1363">
        <f t="shared" si="41"/>
        <v>58.39999999999992</v>
      </c>
      <c r="B156" s="634" t="s">
        <v>1678</v>
      </c>
      <c r="C156" s="637" t="s">
        <v>1771</v>
      </c>
      <c r="D156" s="228">
        <v>65</v>
      </c>
      <c r="E156" s="222">
        <v>68.25</v>
      </c>
      <c r="F156" s="222">
        <v>68.25</v>
      </c>
      <c r="G156" s="222">
        <v>68.25</v>
      </c>
      <c r="H156" s="222"/>
      <c r="I156" s="117"/>
      <c r="J156" s="222"/>
      <c r="K156" s="222"/>
      <c r="L156" s="117"/>
      <c r="M156" s="117"/>
      <c r="N156" s="143">
        <v>76</v>
      </c>
      <c r="O156" s="143">
        <f t="shared" si="36"/>
        <v>76</v>
      </c>
      <c r="P156" s="143">
        <f t="shared" si="39"/>
        <v>76</v>
      </c>
      <c r="Q156" s="1203">
        <f t="shared" si="40"/>
        <v>76</v>
      </c>
      <c r="R156" s="194"/>
    </row>
    <row r="157" spans="1:18" ht="18">
      <c r="A157" s="866"/>
      <c r="B157" s="807" t="s">
        <v>1679</v>
      </c>
      <c r="C157" s="811"/>
      <c r="D157" s="810"/>
      <c r="E157" s="810"/>
      <c r="F157" s="810"/>
      <c r="G157" s="810"/>
      <c r="H157" s="810"/>
      <c r="I157" s="804"/>
      <c r="J157" s="810"/>
      <c r="K157" s="810"/>
      <c r="L157" s="804"/>
      <c r="M157" s="804"/>
      <c r="N157" s="806"/>
      <c r="O157" s="806"/>
      <c r="P157" s="806"/>
      <c r="Q157" s="1261"/>
      <c r="R157" s="867"/>
    </row>
    <row r="158" spans="1:18" ht="27">
      <c r="A158" s="865"/>
      <c r="B158" s="634" t="s">
        <v>1680</v>
      </c>
      <c r="C158" s="637"/>
      <c r="D158" s="222"/>
      <c r="E158" s="222"/>
      <c r="F158" s="222"/>
      <c r="G158" s="222"/>
      <c r="H158" s="222"/>
      <c r="I158" s="117"/>
      <c r="J158" s="222"/>
      <c r="K158" s="222"/>
      <c r="L158" s="117"/>
      <c r="M158" s="117"/>
      <c r="N158" s="143"/>
      <c r="O158" s="143"/>
      <c r="P158" s="143"/>
      <c r="Q158" s="1203"/>
      <c r="R158" s="194"/>
    </row>
    <row r="159" spans="1:18" ht="27">
      <c r="A159" s="1363">
        <f>A156+0.01</f>
        <v>58.409999999999918</v>
      </c>
      <c r="B159" s="634" t="s">
        <v>1681</v>
      </c>
      <c r="C159" s="637" t="s">
        <v>2162</v>
      </c>
      <c r="D159" s="227">
        <v>272</v>
      </c>
      <c r="E159" s="222">
        <v>272</v>
      </c>
      <c r="F159" s="222">
        <v>272</v>
      </c>
      <c r="G159" s="222">
        <v>272</v>
      </c>
      <c r="H159" s="222"/>
      <c r="I159" s="117"/>
      <c r="J159" s="222"/>
      <c r="K159" s="222"/>
      <c r="L159" s="117"/>
      <c r="M159" s="117"/>
      <c r="N159" s="143">
        <v>297</v>
      </c>
      <c r="O159" s="143">
        <f t="shared" si="36"/>
        <v>297</v>
      </c>
      <c r="P159" s="143">
        <f t="shared" si="39"/>
        <v>297</v>
      </c>
      <c r="Q159" s="1203">
        <f>P159</f>
        <v>297</v>
      </c>
      <c r="R159" s="194"/>
    </row>
    <row r="160" spans="1:18" ht="27">
      <c r="A160" s="1363">
        <f>A159+0.01</f>
        <v>58.419999999999916</v>
      </c>
      <c r="B160" s="634" t="s">
        <v>1682</v>
      </c>
      <c r="C160" s="637" t="s">
        <v>2163</v>
      </c>
      <c r="D160" s="227">
        <v>31</v>
      </c>
      <c r="E160" s="222">
        <v>31</v>
      </c>
      <c r="F160" s="222">
        <v>31</v>
      </c>
      <c r="G160" s="222">
        <v>31</v>
      </c>
      <c r="H160" s="222"/>
      <c r="I160" s="117"/>
      <c r="J160" s="222"/>
      <c r="K160" s="222"/>
      <c r="L160" s="117"/>
      <c r="M160" s="117"/>
      <c r="N160" s="143">
        <v>33</v>
      </c>
      <c r="O160" s="143">
        <f t="shared" si="36"/>
        <v>33</v>
      </c>
      <c r="P160" s="143">
        <f t="shared" si="39"/>
        <v>33</v>
      </c>
      <c r="Q160" s="1203">
        <f t="shared" ref="Q160:Q167" si="42">P160</f>
        <v>33</v>
      </c>
      <c r="R160" s="194"/>
    </row>
    <row r="161" spans="1:24" ht="27">
      <c r="A161" s="1363">
        <f t="shared" ref="A161:A167" si="43">A160+0.01</f>
        <v>58.429999999999914</v>
      </c>
      <c r="B161" s="634" t="s">
        <v>1683</v>
      </c>
      <c r="C161" s="637" t="s">
        <v>2163</v>
      </c>
      <c r="D161" s="227">
        <v>40</v>
      </c>
      <c r="E161" s="222">
        <v>42</v>
      </c>
      <c r="F161" s="222">
        <v>42</v>
      </c>
      <c r="G161" s="222">
        <v>42</v>
      </c>
      <c r="H161" s="222"/>
      <c r="I161" s="117"/>
      <c r="J161" s="222"/>
      <c r="K161" s="222"/>
      <c r="L161" s="117"/>
      <c r="M161" s="117"/>
      <c r="N161" s="143">
        <v>45</v>
      </c>
      <c r="O161" s="143">
        <f t="shared" si="36"/>
        <v>45</v>
      </c>
      <c r="P161" s="143">
        <f t="shared" si="39"/>
        <v>45</v>
      </c>
      <c r="Q161" s="1203">
        <f t="shared" si="42"/>
        <v>45</v>
      </c>
      <c r="R161" s="194"/>
    </row>
    <row r="162" spans="1:24" ht="27">
      <c r="A162" s="1363">
        <f t="shared" si="43"/>
        <v>58.439999999999912</v>
      </c>
      <c r="B162" s="634" t="s">
        <v>1684</v>
      </c>
      <c r="C162" s="637" t="s">
        <v>2162</v>
      </c>
      <c r="D162" s="227">
        <v>62</v>
      </c>
      <c r="E162" s="222">
        <v>65.099999999999994</v>
      </c>
      <c r="F162" s="222">
        <v>65.099999999999994</v>
      </c>
      <c r="G162" s="222">
        <v>65.099999999999994</v>
      </c>
      <c r="H162" s="222"/>
      <c r="I162" s="117"/>
      <c r="J162" s="222"/>
      <c r="K162" s="222"/>
      <c r="L162" s="117"/>
      <c r="M162" s="117"/>
      <c r="N162" s="143">
        <v>70</v>
      </c>
      <c r="O162" s="143">
        <f t="shared" si="36"/>
        <v>70</v>
      </c>
      <c r="P162" s="143">
        <f t="shared" si="39"/>
        <v>70</v>
      </c>
      <c r="Q162" s="1203">
        <f t="shared" si="42"/>
        <v>70</v>
      </c>
      <c r="R162" s="194"/>
    </row>
    <row r="163" spans="1:24" ht="27">
      <c r="A163" s="1363">
        <f t="shared" si="43"/>
        <v>58.44999999999991</v>
      </c>
      <c r="B163" s="634" t="s">
        <v>1685</v>
      </c>
      <c r="C163" s="637" t="s">
        <v>2162</v>
      </c>
      <c r="D163" s="227">
        <v>80</v>
      </c>
      <c r="E163" s="222">
        <v>80</v>
      </c>
      <c r="F163" s="222">
        <v>80</v>
      </c>
      <c r="G163" s="222">
        <v>80</v>
      </c>
      <c r="H163" s="222"/>
      <c r="I163" s="117"/>
      <c r="J163" s="222"/>
      <c r="K163" s="222"/>
      <c r="L163" s="117"/>
      <c r="M163" s="117"/>
      <c r="N163" s="143">
        <v>86</v>
      </c>
      <c r="O163" s="143">
        <f t="shared" si="36"/>
        <v>86</v>
      </c>
      <c r="P163" s="143">
        <f t="shared" si="39"/>
        <v>86</v>
      </c>
      <c r="Q163" s="1203">
        <f t="shared" si="42"/>
        <v>86</v>
      </c>
      <c r="R163" s="194"/>
    </row>
    <row r="164" spans="1:24" ht="18">
      <c r="A164" s="1363">
        <f t="shared" si="43"/>
        <v>58.459999999999908</v>
      </c>
      <c r="B164" s="635" t="s">
        <v>1686</v>
      </c>
      <c r="C164" s="637" t="s">
        <v>2136</v>
      </c>
      <c r="D164" s="227">
        <v>336</v>
      </c>
      <c r="E164" s="222">
        <v>352.8</v>
      </c>
      <c r="F164" s="222">
        <v>352.8</v>
      </c>
      <c r="G164" s="222">
        <v>352.8</v>
      </c>
      <c r="H164" s="222"/>
      <c r="I164" s="117"/>
      <c r="J164" s="222"/>
      <c r="K164" s="222"/>
      <c r="L164" s="117"/>
      <c r="M164" s="117"/>
      <c r="N164" s="143">
        <v>383</v>
      </c>
      <c r="O164" s="143">
        <f t="shared" si="36"/>
        <v>383</v>
      </c>
      <c r="P164" s="143">
        <f t="shared" si="39"/>
        <v>383</v>
      </c>
      <c r="Q164" s="1203">
        <f t="shared" si="42"/>
        <v>383</v>
      </c>
      <c r="R164" s="194"/>
    </row>
    <row r="165" spans="1:24" ht="27">
      <c r="A165" s="1363">
        <f t="shared" si="43"/>
        <v>58.469999999999906</v>
      </c>
      <c r="B165" s="634" t="s">
        <v>1687</v>
      </c>
      <c r="C165" s="637" t="s">
        <v>2136</v>
      </c>
      <c r="D165" s="227">
        <v>120</v>
      </c>
      <c r="E165" s="222">
        <v>126</v>
      </c>
      <c r="F165" s="222">
        <v>126</v>
      </c>
      <c r="G165" s="222">
        <v>126</v>
      </c>
      <c r="H165" s="222"/>
      <c r="I165" s="117"/>
      <c r="J165" s="222"/>
      <c r="K165" s="222"/>
      <c r="L165" s="117"/>
      <c r="M165" s="117"/>
      <c r="N165" s="143">
        <v>140</v>
      </c>
      <c r="O165" s="143">
        <f t="shared" si="36"/>
        <v>140</v>
      </c>
      <c r="P165" s="143">
        <f t="shared" si="39"/>
        <v>140</v>
      </c>
      <c r="Q165" s="1203">
        <f t="shared" si="42"/>
        <v>140</v>
      </c>
      <c r="R165" s="194"/>
    </row>
    <row r="166" spans="1:24" ht="27">
      <c r="A166" s="1363">
        <f t="shared" si="43"/>
        <v>58.479999999999905</v>
      </c>
      <c r="B166" s="634" t="s">
        <v>1688</v>
      </c>
      <c r="C166" s="637" t="s">
        <v>2136</v>
      </c>
      <c r="D166" s="227">
        <v>1680</v>
      </c>
      <c r="E166" s="222">
        <v>1680</v>
      </c>
      <c r="F166" s="222">
        <v>1680</v>
      </c>
      <c r="G166" s="222">
        <v>1680</v>
      </c>
      <c r="H166" s="222"/>
      <c r="I166" s="117"/>
      <c r="J166" s="222"/>
      <c r="K166" s="222"/>
      <c r="L166" s="117"/>
      <c r="M166" s="117"/>
      <c r="N166" s="143">
        <v>1814</v>
      </c>
      <c r="O166" s="143">
        <f t="shared" si="36"/>
        <v>1814</v>
      </c>
      <c r="P166" s="143">
        <f t="shared" si="39"/>
        <v>1814</v>
      </c>
      <c r="Q166" s="1203">
        <f t="shared" si="42"/>
        <v>1814</v>
      </c>
      <c r="R166" s="194"/>
    </row>
    <row r="167" spans="1:24" ht="39.75">
      <c r="A167" s="1363">
        <f t="shared" si="43"/>
        <v>58.489999999999903</v>
      </c>
      <c r="B167" s="634" t="s">
        <v>1689</v>
      </c>
      <c r="C167" s="637" t="s">
        <v>2136</v>
      </c>
      <c r="D167" s="227">
        <v>31600</v>
      </c>
      <c r="E167" s="222">
        <v>31600</v>
      </c>
      <c r="F167" s="222">
        <v>31600</v>
      </c>
      <c r="G167" s="222">
        <v>31600</v>
      </c>
      <c r="H167" s="222"/>
      <c r="I167" s="117"/>
      <c r="J167" s="222"/>
      <c r="K167" s="222"/>
      <c r="L167" s="117"/>
      <c r="M167" s="117"/>
      <c r="N167" s="143">
        <v>34128</v>
      </c>
      <c r="O167" s="143">
        <f t="shared" si="36"/>
        <v>34128</v>
      </c>
      <c r="P167" s="143">
        <f t="shared" si="39"/>
        <v>34128</v>
      </c>
      <c r="Q167" s="1203">
        <f t="shared" si="42"/>
        <v>34128</v>
      </c>
      <c r="R167" s="194"/>
    </row>
    <row r="168" spans="1:24">
      <c r="A168" s="866"/>
      <c r="B168" s="807" t="s">
        <v>1690</v>
      </c>
      <c r="C168" s="808"/>
      <c r="D168" s="809"/>
      <c r="E168" s="810"/>
      <c r="F168" s="810"/>
      <c r="G168" s="810"/>
      <c r="H168" s="810"/>
      <c r="I168" s="804"/>
      <c r="J168" s="810"/>
      <c r="K168" s="810"/>
      <c r="L168" s="804"/>
      <c r="M168" s="804"/>
      <c r="N168" s="806"/>
      <c r="O168" s="806"/>
      <c r="P168" s="806"/>
      <c r="Q168" s="1261"/>
      <c r="R168" s="867"/>
    </row>
    <row r="169" spans="1:24" ht="38.25">
      <c r="A169" s="868">
        <f>A167+0.01</f>
        <v>58.499999999999901</v>
      </c>
      <c r="B169" s="636" t="s">
        <v>1691</v>
      </c>
      <c r="C169" s="838" t="s">
        <v>2328</v>
      </c>
      <c r="D169" s="227">
        <v>8000</v>
      </c>
      <c r="E169" s="222">
        <v>8000</v>
      </c>
      <c r="F169" s="222">
        <v>8000</v>
      </c>
      <c r="G169" s="222">
        <v>8000</v>
      </c>
      <c r="H169" s="222"/>
      <c r="I169" s="117"/>
      <c r="J169" s="222"/>
      <c r="K169" s="222"/>
      <c r="L169" s="17"/>
      <c r="M169" s="17"/>
      <c r="N169" s="143">
        <v>8640</v>
      </c>
      <c r="O169" s="143">
        <f t="shared" si="36"/>
        <v>8640</v>
      </c>
      <c r="P169" s="143">
        <f t="shared" si="39"/>
        <v>8640</v>
      </c>
      <c r="Q169" s="1203">
        <f>P169</f>
        <v>8640</v>
      </c>
      <c r="R169" s="194"/>
    </row>
    <row r="170" spans="1:24">
      <c r="A170" s="869"/>
      <c r="B170" s="843" t="s">
        <v>2314</v>
      </c>
      <c r="C170" s="844"/>
      <c r="D170" s="845"/>
      <c r="E170" s="846"/>
      <c r="F170" s="846"/>
      <c r="G170" s="846"/>
      <c r="H170" s="846"/>
      <c r="I170" s="819"/>
      <c r="J170" s="846"/>
      <c r="K170" s="846"/>
      <c r="L170" s="847"/>
      <c r="M170" s="847"/>
      <c r="N170" s="820"/>
      <c r="O170" s="820"/>
      <c r="P170" s="820"/>
      <c r="Q170" s="1201"/>
      <c r="R170" s="870"/>
      <c r="S170" s="839" t="s">
        <v>2688</v>
      </c>
      <c r="T170" s="453" t="s">
        <v>2689</v>
      </c>
      <c r="U170" s="453" t="s">
        <v>2691</v>
      </c>
      <c r="V170" s="453"/>
    </row>
    <row r="171" spans="1:24" ht="18">
      <c r="A171" s="1362">
        <f>A169+0.01</f>
        <v>58.509999999999899</v>
      </c>
      <c r="B171" s="636" t="s">
        <v>2315</v>
      </c>
      <c r="C171" s="850" t="s">
        <v>1771</v>
      </c>
      <c r="D171" s="227"/>
      <c r="E171" s="222"/>
      <c r="F171" s="222"/>
      <c r="G171" s="222"/>
      <c r="H171" s="222"/>
      <c r="I171" s="117"/>
      <c r="J171" s="222"/>
      <c r="K171" s="222"/>
      <c r="L171" s="17"/>
      <c r="M171" s="17"/>
      <c r="N171" s="842" t="s">
        <v>2160</v>
      </c>
      <c r="O171" s="842" t="s">
        <v>2160</v>
      </c>
      <c r="P171" s="36">
        <v>191.19</v>
      </c>
      <c r="Q171" s="1473">
        <v>220</v>
      </c>
      <c r="R171" s="1035"/>
      <c r="S171" s="839">
        <v>305</v>
      </c>
      <c r="T171" s="875">
        <v>302</v>
      </c>
      <c r="U171" s="875">
        <f>(T171-(T171*15%))</f>
        <v>256.7</v>
      </c>
      <c r="V171" s="1375">
        <f>(T171-U171)/T171</f>
        <v>0.15000000000000005</v>
      </c>
      <c r="X171" s="1547">
        <f>(Q171-P171)/P171</f>
        <v>0.15068779747894764</v>
      </c>
    </row>
    <row r="172" spans="1:24" ht="18">
      <c r="A172" s="1362">
        <f>A171+0.01</f>
        <v>58.519999999999897</v>
      </c>
      <c r="B172" s="636" t="s">
        <v>2316</v>
      </c>
      <c r="C172" s="850" t="s">
        <v>1771</v>
      </c>
      <c r="D172" s="227"/>
      <c r="E172" s="222"/>
      <c r="F172" s="222"/>
      <c r="G172" s="222"/>
      <c r="H172" s="222"/>
      <c r="I172" s="117"/>
      <c r="J172" s="222"/>
      <c r="K172" s="222"/>
      <c r="L172" s="17"/>
      <c r="M172" s="17"/>
      <c r="N172" s="842" t="s">
        <v>2160</v>
      </c>
      <c r="O172" s="842" t="s">
        <v>2160</v>
      </c>
      <c r="P172" s="36">
        <v>286.23</v>
      </c>
      <c r="Q172" s="1473">
        <v>330</v>
      </c>
      <c r="R172" s="1035"/>
      <c r="S172" s="839">
        <v>550</v>
      </c>
      <c r="T172" s="875">
        <v>535</v>
      </c>
      <c r="U172" s="875">
        <f t="shared" ref="U172:U173" si="44">(T172-(T172*15%))</f>
        <v>454.75</v>
      </c>
      <c r="V172" s="1375">
        <f t="shared" ref="V172:V173" si="45">(T172-U172)/T172</f>
        <v>0.15</v>
      </c>
      <c r="X172" s="1547">
        <f t="shared" ref="X172:X173" si="46">(Q172-P172)/P172</f>
        <v>0.15291898123886377</v>
      </c>
    </row>
    <row r="173" spans="1:24" ht="18">
      <c r="A173" s="1362">
        <f>A172+0.01</f>
        <v>58.529999999999895</v>
      </c>
      <c r="B173" s="636" t="s">
        <v>2317</v>
      </c>
      <c r="C173" s="850" t="s">
        <v>1771</v>
      </c>
      <c r="D173" s="227"/>
      <c r="E173" s="222"/>
      <c r="F173" s="222"/>
      <c r="G173" s="222"/>
      <c r="H173" s="222"/>
      <c r="I173" s="117"/>
      <c r="J173" s="222"/>
      <c r="K173" s="222"/>
      <c r="L173" s="17"/>
      <c r="M173" s="17"/>
      <c r="N173" s="842" t="s">
        <v>2160</v>
      </c>
      <c r="O173" s="842" t="s">
        <v>2160</v>
      </c>
      <c r="P173" s="36">
        <v>548.58000000000004</v>
      </c>
      <c r="Q173" s="1473">
        <v>650</v>
      </c>
      <c r="R173" s="1035"/>
      <c r="S173" s="839">
        <v>1080</v>
      </c>
      <c r="T173" s="875">
        <v>995</v>
      </c>
      <c r="U173" s="875">
        <f t="shared" si="44"/>
        <v>845.75</v>
      </c>
      <c r="V173" s="1375">
        <f t="shared" si="45"/>
        <v>0.15</v>
      </c>
      <c r="X173" s="1547">
        <f t="shared" si="46"/>
        <v>0.18487731962521409</v>
      </c>
    </row>
    <row r="174" spans="1:24">
      <c r="A174" s="1364">
        <v>59</v>
      </c>
      <c r="B174" s="802" t="s">
        <v>1692</v>
      </c>
      <c r="C174" s="803"/>
      <c r="D174" s="803"/>
      <c r="E174" s="804"/>
      <c r="F174" s="804"/>
      <c r="G174" s="804"/>
      <c r="H174" s="804"/>
      <c r="I174" s="804"/>
      <c r="J174" s="804"/>
      <c r="K174" s="804"/>
      <c r="L174" s="804"/>
      <c r="M174" s="805"/>
      <c r="N174" s="806"/>
      <c r="O174" s="806"/>
      <c r="P174" s="806"/>
      <c r="Q174" s="1261"/>
      <c r="R174" s="867"/>
      <c r="S174" s="848" t="s">
        <v>2320</v>
      </c>
      <c r="T174" s="848" t="s">
        <v>2321</v>
      </c>
      <c r="U174" s="848" t="s">
        <v>2322</v>
      </c>
    </row>
    <row r="175" spans="1:24" ht="18">
      <c r="A175" s="1362">
        <f>A174+0.01</f>
        <v>59.01</v>
      </c>
      <c r="B175" s="635" t="s">
        <v>2324</v>
      </c>
      <c r="C175" s="850" t="s">
        <v>2136</v>
      </c>
      <c r="D175" s="25"/>
      <c r="E175" s="117"/>
      <c r="F175" s="117"/>
      <c r="G175" s="117"/>
      <c r="H175" s="117"/>
      <c r="I175" s="117"/>
      <c r="J175" s="117"/>
      <c r="K175" s="117"/>
      <c r="L175" s="117"/>
      <c r="M175" s="117"/>
      <c r="N175" s="36">
        <v>1523</v>
      </c>
      <c r="O175" s="36">
        <f t="shared" si="36"/>
        <v>1523</v>
      </c>
      <c r="P175" s="36">
        <f>T175</f>
        <v>1546</v>
      </c>
      <c r="Q175" s="213">
        <f>P175</f>
        <v>1546</v>
      </c>
      <c r="R175" s="194"/>
      <c r="S175" s="13">
        <v>1514</v>
      </c>
      <c r="T175" s="13">
        <v>1546</v>
      </c>
      <c r="U175" s="13">
        <v>1599</v>
      </c>
    </row>
    <row r="176" spans="1:24" ht="18">
      <c r="A176" s="1362">
        <f t="shared" ref="A176:A203" si="47">A175+0.01</f>
        <v>59.019999999999996</v>
      </c>
      <c r="B176" s="635" t="s">
        <v>2325</v>
      </c>
      <c r="C176" s="850" t="s">
        <v>2110</v>
      </c>
      <c r="D176" s="25"/>
      <c r="E176" s="117"/>
      <c r="F176" s="117"/>
      <c r="G176" s="117"/>
      <c r="H176" s="117"/>
      <c r="I176" s="117"/>
      <c r="J176" s="117"/>
      <c r="K176" s="117"/>
      <c r="L176" s="117"/>
      <c r="M176" s="117"/>
      <c r="N176" s="842" t="s">
        <v>2160</v>
      </c>
      <c r="O176" s="842" t="s">
        <v>2160</v>
      </c>
      <c r="P176" s="36">
        <f>T176</f>
        <v>366.31</v>
      </c>
      <c r="Q176" s="213">
        <f t="shared" ref="Q176:Q193" si="48">P176</f>
        <v>366.31</v>
      </c>
      <c r="R176" s="1035"/>
      <c r="S176" s="13">
        <v>193</v>
      </c>
      <c r="T176" s="13">
        <v>366.31</v>
      </c>
    </row>
    <row r="177" spans="1:21" ht="18">
      <c r="A177" s="1362">
        <f t="shared" si="47"/>
        <v>59.029999999999994</v>
      </c>
      <c r="B177" s="635" t="s">
        <v>2319</v>
      </c>
      <c r="C177" s="850" t="s">
        <v>2136</v>
      </c>
      <c r="D177" s="25"/>
      <c r="E177" s="117"/>
      <c r="F177" s="117"/>
      <c r="G177" s="117"/>
      <c r="H177" s="117"/>
      <c r="I177" s="117"/>
      <c r="J177" s="117"/>
      <c r="K177" s="117"/>
      <c r="L177" s="117"/>
      <c r="M177" s="117"/>
      <c r="N177" s="36">
        <v>491</v>
      </c>
      <c r="O177" s="36">
        <f t="shared" si="36"/>
        <v>491</v>
      </c>
      <c r="P177" s="36">
        <f t="shared" si="39"/>
        <v>491</v>
      </c>
      <c r="Q177" s="213">
        <f t="shared" si="48"/>
        <v>491</v>
      </c>
      <c r="R177" s="194"/>
      <c r="S177" s="13">
        <v>266</v>
      </c>
      <c r="T177" s="13">
        <v>366.31</v>
      </c>
      <c r="U177" s="13">
        <v>516</v>
      </c>
    </row>
    <row r="178" spans="1:21" ht="18">
      <c r="A178" s="1362">
        <f t="shared" si="47"/>
        <v>59.039999999999992</v>
      </c>
      <c r="B178" s="635" t="s">
        <v>1693</v>
      </c>
      <c r="C178" s="850" t="s">
        <v>2110</v>
      </c>
      <c r="D178" s="25"/>
      <c r="E178" s="117"/>
      <c r="F178" s="117"/>
      <c r="G178" s="117"/>
      <c r="H178" s="117"/>
      <c r="I178" s="117"/>
      <c r="J178" s="117"/>
      <c r="K178" s="117"/>
      <c r="L178" s="117"/>
      <c r="M178" s="117"/>
      <c r="N178" s="36">
        <v>1523</v>
      </c>
      <c r="O178" s="36">
        <f t="shared" si="36"/>
        <v>1523</v>
      </c>
      <c r="P178" s="36">
        <f t="shared" si="39"/>
        <v>1523</v>
      </c>
      <c r="Q178" s="213">
        <f t="shared" si="48"/>
        <v>1523</v>
      </c>
      <c r="R178" s="194"/>
    </row>
    <row r="179" spans="1:21" ht="18">
      <c r="A179" s="1362">
        <f t="shared" si="47"/>
        <v>59.04999999999999</v>
      </c>
      <c r="B179" s="635" t="s">
        <v>2305</v>
      </c>
      <c r="C179" s="850" t="s">
        <v>2110</v>
      </c>
      <c r="D179" s="25"/>
      <c r="E179" s="117"/>
      <c r="F179" s="117"/>
      <c r="G179" s="117"/>
      <c r="H179" s="117"/>
      <c r="I179" s="117"/>
      <c r="J179" s="117"/>
      <c r="K179" s="117"/>
      <c r="L179" s="117"/>
      <c r="M179" s="117"/>
      <c r="N179" s="36">
        <v>4876</v>
      </c>
      <c r="O179" s="36">
        <f t="shared" si="36"/>
        <v>4876</v>
      </c>
      <c r="P179" s="36">
        <f t="shared" si="39"/>
        <v>4876</v>
      </c>
      <c r="Q179" s="213">
        <f t="shared" si="48"/>
        <v>4876</v>
      </c>
      <c r="R179" s="194"/>
    </row>
    <row r="180" spans="1:21" ht="18">
      <c r="A180" s="1362">
        <f t="shared" si="47"/>
        <v>59.059999999999988</v>
      </c>
      <c r="B180" s="635" t="s">
        <v>1694</v>
      </c>
      <c r="C180" s="850" t="s">
        <v>1770</v>
      </c>
      <c r="D180" s="25"/>
      <c r="E180" s="117"/>
      <c r="F180" s="117"/>
      <c r="G180" s="117"/>
      <c r="H180" s="117"/>
      <c r="I180" s="117"/>
      <c r="J180" s="117"/>
      <c r="K180" s="117"/>
      <c r="L180" s="117"/>
      <c r="M180" s="117"/>
      <c r="N180" s="36">
        <v>151</v>
      </c>
      <c r="O180" s="36">
        <f t="shared" si="36"/>
        <v>151</v>
      </c>
      <c r="P180" s="36">
        <f t="shared" si="39"/>
        <v>151</v>
      </c>
      <c r="Q180" s="213">
        <f t="shared" si="48"/>
        <v>151</v>
      </c>
      <c r="R180" s="194"/>
    </row>
    <row r="181" spans="1:21" ht="18">
      <c r="A181" s="1362">
        <f t="shared" si="47"/>
        <v>59.069999999999986</v>
      </c>
      <c r="B181" s="635" t="s">
        <v>1696</v>
      </c>
      <c r="C181" s="850" t="s">
        <v>1770</v>
      </c>
      <c r="D181" s="25"/>
      <c r="E181" s="117"/>
      <c r="F181" s="117"/>
      <c r="G181" s="117"/>
      <c r="H181" s="117"/>
      <c r="I181" s="117"/>
      <c r="J181" s="117"/>
      <c r="K181" s="117"/>
      <c r="L181" s="117"/>
      <c r="M181" s="117"/>
      <c r="N181" s="36">
        <v>211</v>
      </c>
      <c r="O181" s="36">
        <f t="shared" si="36"/>
        <v>211</v>
      </c>
      <c r="P181" s="36">
        <f t="shared" si="39"/>
        <v>211</v>
      </c>
      <c r="Q181" s="213">
        <f t="shared" si="48"/>
        <v>211</v>
      </c>
      <c r="R181" s="194"/>
    </row>
    <row r="182" spans="1:21" ht="18">
      <c r="A182" s="1362">
        <f t="shared" si="47"/>
        <v>59.079999999999984</v>
      </c>
      <c r="B182" s="635" t="s">
        <v>2306</v>
      </c>
      <c r="C182" s="850" t="s">
        <v>2110</v>
      </c>
      <c r="D182" s="25"/>
      <c r="E182" s="117"/>
      <c r="F182" s="117"/>
      <c r="G182" s="117"/>
      <c r="H182" s="117"/>
      <c r="I182" s="117"/>
      <c r="J182" s="117"/>
      <c r="K182" s="117"/>
      <c r="L182" s="117"/>
      <c r="M182" s="117"/>
      <c r="N182" s="36">
        <v>3051</v>
      </c>
      <c r="O182" s="36">
        <f t="shared" si="36"/>
        <v>3051</v>
      </c>
      <c r="P182" s="115">
        <f>O182</f>
        <v>3051</v>
      </c>
      <c r="Q182" s="213">
        <f t="shared" si="48"/>
        <v>3051</v>
      </c>
      <c r="R182" s="194"/>
      <c r="S182" s="840"/>
    </row>
    <row r="183" spans="1:21" ht="18">
      <c r="A183" s="1362">
        <f t="shared" si="47"/>
        <v>59.089999999999982</v>
      </c>
      <c r="B183" s="635" t="s">
        <v>1697</v>
      </c>
      <c r="C183" s="850" t="s">
        <v>1770</v>
      </c>
      <c r="D183" s="25"/>
      <c r="E183" s="117"/>
      <c r="F183" s="117"/>
      <c r="G183" s="117"/>
      <c r="H183" s="117"/>
      <c r="I183" s="117"/>
      <c r="J183" s="117"/>
      <c r="K183" s="117"/>
      <c r="L183" s="117"/>
      <c r="M183" s="117"/>
      <c r="N183" s="36">
        <v>2198</v>
      </c>
      <c r="O183" s="36">
        <f t="shared" si="36"/>
        <v>2198</v>
      </c>
      <c r="P183" s="36">
        <f t="shared" si="39"/>
        <v>2198</v>
      </c>
      <c r="Q183" s="213">
        <f t="shared" si="48"/>
        <v>2198</v>
      </c>
      <c r="R183" s="194"/>
    </row>
    <row r="184" spans="1:21" ht="18">
      <c r="A184" s="1362">
        <f t="shared" si="47"/>
        <v>59.09999999999998</v>
      </c>
      <c r="B184" s="635" t="s">
        <v>2308</v>
      </c>
      <c r="C184" s="850" t="s">
        <v>1771</v>
      </c>
      <c r="D184" s="25"/>
      <c r="E184" s="117"/>
      <c r="F184" s="117"/>
      <c r="G184" s="117"/>
      <c r="H184" s="117"/>
      <c r="I184" s="117"/>
      <c r="J184" s="117"/>
      <c r="K184" s="117"/>
      <c r="L184" s="117"/>
      <c r="M184" s="117"/>
      <c r="N184" s="842" t="s">
        <v>2160</v>
      </c>
      <c r="O184" s="842" t="s">
        <v>2160</v>
      </c>
      <c r="P184" s="36">
        <v>84</v>
      </c>
      <c r="Q184" s="213">
        <f t="shared" si="48"/>
        <v>84</v>
      </c>
      <c r="R184" s="1035"/>
      <c r="S184" s="840" t="s">
        <v>2307</v>
      </c>
    </row>
    <row r="185" spans="1:21" ht="18">
      <c r="A185" s="1362">
        <f t="shared" si="47"/>
        <v>59.109999999999978</v>
      </c>
      <c r="B185" s="635" t="s">
        <v>1698</v>
      </c>
      <c r="C185" s="850" t="s">
        <v>2136</v>
      </c>
      <c r="D185" s="25"/>
      <c r="E185" s="117"/>
      <c r="F185" s="117"/>
      <c r="G185" s="117"/>
      <c r="H185" s="117"/>
      <c r="I185" s="117"/>
      <c r="J185" s="117"/>
      <c r="K185" s="117"/>
      <c r="L185" s="117"/>
      <c r="M185" s="117"/>
      <c r="N185" s="36">
        <v>1777</v>
      </c>
      <c r="O185" s="36">
        <f t="shared" si="36"/>
        <v>1777</v>
      </c>
      <c r="P185" s="36">
        <f t="shared" si="39"/>
        <v>1777</v>
      </c>
      <c r="Q185" s="213">
        <f t="shared" si="48"/>
        <v>1777</v>
      </c>
      <c r="R185" s="194"/>
    </row>
    <row r="186" spans="1:21" ht="18">
      <c r="A186" s="1362">
        <f t="shared" si="47"/>
        <v>59.119999999999976</v>
      </c>
      <c r="B186" s="635" t="s">
        <v>1699</v>
      </c>
      <c r="C186" s="850" t="s">
        <v>1770</v>
      </c>
      <c r="D186" s="25"/>
      <c r="E186" s="117"/>
      <c r="F186" s="117"/>
      <c r="G186" s="117"/>
      <c r="H186" s="117"/>
      <c r="I186" s="117"/>
      <c r="J186" s="117"/>
      <c r="K186" s="117"/>
      <c r="L186" s="117"/>
      <c r="M186" s="117"/>
      <c r="N186" s="36">
        <v>157</v>
      </c>
      <c r="O186" s="36">
        <f t="shared" si="36"/>
        <v>157</v>
      </c>
      <c r="P186" s="36">
        <f t="shared" si="39"/>
        <v>157</v>
      </c>
      <c r="Q186" s="213">
        <f t="shared" si="48"/>
        <v>157</v>
      </c>
      <c r="R186" s="194"/>
    </row>
    <row r="187" spans="1:21" ht="18">
      <c r="A187" s="1362">
        <f t="shared" si="47"/>
        <v>59.129999999999974</v>
      </c>
      <c r="B187" s="635" t="s">
        <v>1700</v>
      </c>
      <c r="C187" s="850" t="s">
        <v>2110</v>
      </c>
      <c r="D187" s="25"/>
      <c r="E187" s="117"/>
      <c r="F187" s="117"/>
      <c r="G187" s="117"/>
      <c r="H187" s="117"/>
      <c r="I187" s="117"/>
      <c r="J187" s="117"/>
      <c r="K187" s="117"/>
      <c r="L187" s="117"/>
      <c r="M187" s="117"/>
      <c r="N187" s="36">
        <v>119</v>
      </c>
      <c r="O187" s="36">
        <f t="shared" si="36"/>
        <v>119</v>
      </c>
      <c r="P187" s="36">
        <f t="shared" si="39"/>
        <v>119</v>
      </c>
      <c r="Q187" s="213">
        <f t="shared" si="48"/>
        <v>119</v>
      </c>
      <c r="R187" s="194"/>
    </row>
    <row r="188" spans="1:21" ht="18">
      <c r="A188" s="1362">
        <f t="shared" si="47"/>
        <v>59.139999999999972</v>
      </c>
      <c r="B188" s="635" t="s">
        <v>1701</v>
      </c>
      <c r="C188" s="850" t="s">
        <v>2110</v>
      </c>
      <c r="D188" s="25"/>
      <c r="E188" s="117"/>
      <c r="F188" s="117"/>
      <c r="G188" s="117"/>
      <c r="H188" s="117"/>
      <c r="I188" s="117"/>
      <c r="J188" s="117"/>
      <c r="K188" s="117"/>
      <c r="L188" s="117"/>
      <c r="M188" s="117"/>
      <c r="N188" s="36">
        <v>151</v>
      </c>
      <c r="O188" s="36">
        <f t="shared" si="36"/>
        <v>151</v>
      </c>
      <c r="P188" s="36">
        <f t="shared" si="39"/>
        <v>151</v>
      </c>
      <c r="Q188" s="213">
        <f t="shared" si="48"/>
        <v>151</v>
      </c>
      <c r="R188" s="194"/>
    </row>
    <row r="189" spans="1:21" ht="18">
      <c r="A189" s="1362">
        <f t="shared" si="47"/>
        <v>59.14999999999997</v>
      </c>
      <c r="B189" s="635" t="s">
        <v>1702</v>
      </c>
      <c r="C189" s="850" t="s">
        <v>2136</v>
      </c>
      <c r="D189" s="25"/>
      <c r="E189" s="117"/>
      <c r="F189" s="117"/>
      <c r="G189" s="117"/>
      <c r="H189" s="117"/>
      <c r="I189" s="117"/>
      <c r="J189" s="117"/>
      <c r="K189" s="117"/>
      <c r="L189" s="117"/>
      <c r="M189" s="117"/>
      <c r="N189" s="36">
        <v>31541</v>
      </c>
      <c r="O189" s="36">
        <f t="shared" si="36"/>
        <v>31541</v>
      </c>
      <c r="P189" s="36">
        <f t="shared" si="39"/>
        <v>31541</v>
      </c>
      <c r="Q189" s="213">
        <f t="shared" si="48"/>
        <v>31541</v>
      </c>
      <c r="R189" s="194"/>
    </row>
    <row r="190" spans="1:21" ht="18">
      <c r="A190" s="1362">
        <f t="shared" si="47"/>
        <v>59.159999999999968</v>
      </c>
      <c r="B190" s="635" t="s">
        <v>1703</v>
      </c>
      <c r="C190" s="850" t="s">
        <v>2136</v>
      </c>
      <c r="D190" s="25"/>
      <c r="E190" s="117"/>
      <c r="F190" s="117"/>
      <c r="G190" s="117"/>
      <c r="H190" s="117"/>
      <c r="I190" s="117"/>
      <c r="J190" s="117"/>
      <c r="K190" s="117"/>
      <c r="L190" s="117"/>
      <c r="M190" s="117"/>
      <c r="N190" s="36">
        <v>47428</v>
      </c>
      <c r="O190" s="36">
        <f t="shared" si="36"/>
        <v>47428</v>
      </c>
      <c r="P190" s="36">
        <f t="shared" si="39"/>
        <v>47428</v>
      </c>
      <c r="Q190" s="213">
        <f t="shared" si="48"/>
        <v>47428</v>
      </c>
      <c r="R190" s="194"/>
    </row>
    <row r="191" spans="1:21" ht="18">
      <c r="A191" s="1362">
        <f t="shared" si="47"/>
        <v>59.169999999999966</v>
      </c>
      <c r="B191" s="635" t="s">
        <v>1704</v>
      </c>
      <c r="C191" s="850" t="s">
        <v>1770</v>
      </c>
      <c r="D191" s="25"/>
      <c r="E191" s="117"/>
      <c r="F191" s="117"/>
      <c r="G191" s="117"/>
      <c r="H191" s="117"/>
      <c r="I191" s="117"/>
      <c r="J191" s="117"/>
      <c r="K191" s="117"/>
      <c r="L191" s="117"/>
      <c r="M191" s="117"/>
      <c r="N191" s="36">
        <v>1156</v>
      </c>
      <c r="O191" s="36">
        <f t="shared" si="36"/>
        <v>1156</v>
      </c>
      <c r="P191" s="36">
        <f t="shared" si="39"/>
        <v>1156</v>
      </c>
      <c r="Q191" s="213">
        <f t="shared" si="48"/>
        <v>1156</v>
      </c>
      <c r="R191" s="194"/>
    </row>
    <row r="192" spans="1:21" ht="18">
      <c r="A192" s="1362">
        <f t="shared" si="47"/>
        <v>59.179999999999964</v>
      </c>
      <c r="B192" s="635" t="s">
        <v>1705</v>
      </c>
      <c r="C192" s="850" t="s">
        <v>1770</v>
      </c>
      <c r="D192" s="25"/>
      <c r="E192" s="117"/>
      <c r="F192" s="117"/>
      <c r="G192" s="117"/>
      <c r="H192" s="117"/>
      <c r="I192" s="117"/>
      <c r="J192" s="117"/>
      <c r="K192" s="117"/>
      <c r="L192" s="117"/>
      <c r="M192" s="117"/>
      <c r="N192" s="36">
        <v>1188</v>
      </c>
      <c r="O192" s="36">
        <f t="shared" si="36"/>
        <v>1188</v>
      </c>
      <c r="P192" s="36">
        <f t="shared" si="39"/>
        <v>1188</v>
      </c>
      <c r="Q192" s="213">
        <f t="shared" si="48"/>
        <v>1188</v>
      </c>
      <c r="R192" s="194"/>
    </row>
    <row r="193" spans="1:24" ht="18">
      <c r="A193" s="1362">
        <f t="shared" si="47"/>
        <v>59.189999999999962</v>
      </c>
      <c r="B193" s="635" t="s">
        <v>2323</v>
      </c>
      <c r="C193" s="850" t="s">
        <v>2136</v>
      </c>
      <c r="D193" s="25"/>
      <c r="E193" s="117"/>
      <c r="F193" s="117"/>
      <c r="G193" s="117"/>
      <c r="H193" s="117"/>
      <c r="I193" s="117"/>
      <c r="J193" s="117"/>
      <c r="K193" s="117"/>
      <c r="L193" s="117"/>
      <c r="M193" s="117"/>
      <c r="N193" s="36">
        <v>232</v>
      </c>
      <c r="O193" s="36">
        <f t="shared" si="36"/>
        <v>232</v>
      </c>
      <c r="P193" s="36">
        <f t="shared" si="39"/>
        <v>232</v>
      </c>
      <c r="Q193" s="213">
        <f t="shared" si="48"/>
        <v>232</v>
      </c>
      <c r="R193" s="194"/>
    </row>
    <row r="194" spans="1:24" ht="18">
      <c r="A194" s="1362">
        <f t="shared" si="47"/>
        <v>59.19999999999996</v>
      </c>
      <c r="B194" s="635" t="s">
        <v>2330</v>
      </c>
      <c r="C194" s="850" t="s">
        <v>2110</v>
      </c>
      <c r="D194" s="25"/>
      <c r="E194" s="117"/>
      <c r="F194" s="117"/>
      <c r="G194" s="117"/>
      <c r="H194" s="117"/>
      <c r="I194" s="117"/>
      <c r="J194" s="117"/>
      <c r="K194" s="117"/>
      <c r="L194" s="117"/>
      <c r="M194" s="117"/>
      <c r="N194" s="842" t="s">
        <v>2160</v>
      </c>
      <c r="O194" s="842" t="s">
        <v>2160</v>
      </c>
      <c r="P194" s="36">
        <v>140.01</v>
      </c>
      <c r="Q194" s="213">
        <f>P194</f>
        <v>140.01</v>
      </c>
      <c r="R194" s="1035"/>
      <c r="S194" s="840" t="s">
        <v>2307</v>
      </c>
    </row>
    <row r="195" spans="1:24" ht="18">
      <c r="A195" s="1362">
        <f t="shared" si="47"/>
        <v>59.209999999999958</v>
      </c>
      <c r="B195" s="635" t="s">
        <v>2331</v>
      </c>
      <c r="C195" s="850" t="s">
        <v>2110</v>
      </c>
      <c r="D195" s="25"/>
      <c r="E195" s="117"/>
      <c r="F195" s="117"/>
      <c r="G195" s="117"/>
      <c r="H195" s="117"/>
      <c r="I195" s="117"/>
      <c r="J195" s="117"/>
      <c r="K195" s="117"/>
      <c r="L195" s="117"/>
      <c r="M195" s="117"/>
      <c r="N195" s="842" t="s">
        <v>2160</v>
      </c>
      <c r="O195" s="842" t="s">
        <v>2160</v>
      </c>
      <c r="P195" s="36">
        <v>160.79</v>
      </c>
      <c r="Q195" s="213">
        <f t="shared" ref="Q195:Q203" si="49">P195</f>
        <v>160.79</v>
      </c>
      <c r="R195" s="1035"/>
      <c r="S195" s="840" t="s">
        <v>2307</v>
      </c>
    </row>
    <row r="196" spans="1:24" ht="18">
      <c r="A196" s="1362">
        <f t="shared" si="47"/>
        <v>59.219999999999956</v>
      </c>
      <c r="B196" s="635" t="s">
        <v>2332</v>
      </c>
      <c r="C196" s="850" t="s">
        <v>2110</v>
      </c>
      <c r="D196" s="25"/>
      <c r="E196" s="117"/>
      <c r="F196" s="117"/>
      <c r="G196" s="117"/>
      <c r="H196" s="117"/>
      <c r="I196" s="117"/>
      <c r="J196" s="117"/>
      <c r="K196" s="117"/>
      <c r="L196" s="117"/>
      <c r="M196" s="117"/>
      <c r="N196" s="842" t="s">
        <v>2160</v>
      </c>
      <c r="O196" s="842" t="s">
        <v>2160</v>
      </c>
      <c r="P196" s="36">
        <v>392.68</v>
      </c>
      <c r="Q196" s="213">
        <f t="shared" si="49"/>
        <v>392.68</v>
      </c>
      <c r="R196" s="1035"/>
      <c r="S196" s="840" t="s">
        <v>2307</v>
      </c>
    </row>
    <row r="197" spans="1:24" ht="18">
      <c r="A197" s="1362">
        <f t="shared" si="47"/>
        <v>59.229999999999954</v>
      </c>
      <c r="B197" s="635" t="s">
        <v>2333</v>
      </c>
      <c r="C197" s="850" t="s">
        <v>2110</v>
      </c>
      <c r="D197" s="25"/>
      <c r="E197" s="117"/>
      <c r="F197" s="117"/>
      <c r="G197" s="117"/>
      <c r="H197" s="117"/>
      <c r="I197" s="117"/>
      <c r="J197" s="117"/>
      <c r="K197" s="117"/>
      <c r="L197" s="117"/>
      <c r="M197" s="117"/>
      <c r="N197" s="842" t="s">
        <v>2160</v>
      </c>
      <c r="O197" s="842" t="s">
        <v>2160</v>
      </c>
      <c r="P197" s="36">
        <v>1847.14</v>
      </c>
      <c r="Q197" s="213">
        <f t="shared" si="49"/>
        <v>1847.14</v>
      </c>
      <c r="R197" s="1035"/>
      <c r="S197" s="840" t="s">
        <v>2307</v>
      </c>
    </row>
    <row r="198" spans="1:24" ht="18">
      <c r="A198" s="1362">
        <f t="shared" si="47"/>
        <v>59.239999999999952</v>
      </c>
      <c r="B198" s="635" t="s">
        <v>2334</v>
      </c>
      <c r="C198" s="850" t="s">
        <v>2110</v>
      </c>
      <c r="D198" s="25"/>
      <c r="E198" s="117"/>
      <c r="F198" s="117"/>
      <c r="G198" s="117"/>
      <c r="H198" s="117"/>
      <c r="I198" s="117"/>
      <c r="J198" s="117"/>
      <c r="K198" s="117"/>
      <c r="L198" s="117"/>
      <c r="M198" s="117"/>
      <c r="N198" s="842" t="s">
        <v>2160</v>
      </c>
      <c r="O198" s="842" t="s">
        <v>2160</v>
      </c>
      <c r="P198" s="36">
        <v>3910</v>
      </c>
      <c r="Q198" s="213">
        <f t="shared" si="49"/>
        <v>3910</v>
      </c>
      <c r="R198" s="1035"/>
      <c r="S198" s="840" t="s">
        <v>2307</v>
      </c>
    </row>
    <row r="199" spans="1:24" ht="18">
      <c r="A199" s="1362">
        <f t="shared" si="47"/>
        <v>59.24999999999995</v>
      </c>
      <c r="B199" s="635" t="s">
        <v>2335</v>
      </c>
      <c r="C199" s="850" t="s">
        <v>2110</v>
      </c>
      <c r="D199" s="25"/>
      <c r="E199" s="117"/>
      <c r="F199" s="117"/>
      <c r="G199" s="117"/>
      <c r="H199" s="117"/>
      <c r="I199" s="117"/>
      <c r="J199" s="117"/>
      <c r="K199" s="117"/>
      <c r="L199" s="117"/>
      <c r="M199" s="117"/>
      <c r="N199" s="842" t="s">
        <v>2160</v>
      </c>
      <c r="O199" s="842" t="s">
        <v>2160</v>
      </c>
      <c r="P199" s="36">
        <v>1951</v>
      </c>
      <c r="Q199" s="213">
        <f t="shared" si="49"/>
        <v>1951</v>
      </c>
      <c r="R199" s="1035"/>
      <c r="S199" s="840" t="s">
        <v>2307</v>
      </c>
    </row>
    <row r="200" spans="1:24" ht="18">
      <c r="A200" s="1362">
        <f t="shared" si="47"/>
        <v>59.259999999999948</v>
      </c>
      <c r="B200" s="635" t="s">
        <v>2336</v>
      </c>
      <c r="C200" s="850" t="s">
        <v>2110</v>
      </c>
      <c r="D200" s="25"/>
      <c r="E200" s="117"/>
      <c r="F200" s="117"/>
      <c r="G200" s="117"/>
      <c r="H200" s="117"/>
      <c r="I200" s="117"/>
      <c r="J200" s="117"/>
      <c r="K200" s="117"/>
      <c r="L200" s="117"/>
      <c r="M200" s="117"/>
      <c r="N200" s="842" t="s">
        <v>2160</v>
      </c>
      <c r="O200" s="842" t="s">
        <v>2160</v>
      </c>
      <c r="P200" s="36">
        <v>3424</v>
      </c>
      <c r="Q200" s="213">
        <f t="shared" si="49"/>
        <v>3424</v>
      </c>
      <c r="R200" s="1035"/>
      <c r="S200" s="840" t="s">
        <v>2307</v>
      </c>
    </row>
    <row r="201" spans="1:24" ht="18">
      <c r="A201" s="1362">
        <f t="shared" si="47"/>
        <v>59.269999999999946</v>
      </c>
      <c r="B201" s="635" t="s">
        <v>2337</v>
      </c>
      <c r="C201" s="850" t="s">
        <v>2163</v>
      </c>
      <c r="D201" s="25"/>
      <c r="E201" s="117"/>
      <c r="F201" s="117"/>
      <c r="G201" s="117"/>
      <c r="H201" s="117"/>
      <c r="I201" s="117"/>
      <c r="J201" s="117"/>
      <c r="K201" s="117"/>
      <c r="L201" s="117"/>
      <c r="M201" s="117"/>
      <c r="N201" s="842" t="s">
        <v>2160</v>
      </c>
      <c r="O201" s="842" t="s">
        <v>2160</v>
      </c>
      <c r="P201" s="36">
        <v>216.24</v>
      </c>
      <c r="Q201" s="213">
        <f t="shared" si="49"/>
        <v>216.24</v>
      </c>
      <c r="R201" s="1035"/>
      <c r="S201" s="840" t="s">
        <v>2307</v>
      </c>
    </row>
    <row r="202" spans="1:24" ht="18">
      <c r="A202" s="1362">
        <f t="shared" si="47"/>
        <v>59.279999999999944</v>
      </c>
      <c r="B202" s="635" t="s">
        <v>2338</v>
      </c>
      <c r="C202" s="850" t="s">
        <v>2163</v>
      </c>
      <c r="D202" s="25"/>
      <c r="E202" s="117"/>
      <c r="F202" s="117"/>
      <c r="G202" s="117"/>
      <c r="H202" s="117"/>
      <c r="I202" s="117"/>
      <c r="J202" s="117"/>
      <c r="K202" s="117"/>
      <c r="L202" s="117"/>
      <c r="M202" s="117"/>
      <c r="N202" s="842" t="s">
        <v>2160</v>
      </c>
      <c r="O202" s="842" t="s">
        <v>2160</v>
      </c>
      <c r="P202" s="36">
        <f>105%*138.1</f>
        <v>145.005</v>
      </c>
      <c r="Q202" s="213">
        <f t="shared" si="49"/>
        <v>145.005</v>
      </c>
      <c r="R202" s="1035"/>
      <c r="S202" s="840" t="s">
        <v>2307</v>
      </c>
    </row>
    <row r="203" spans="1:24" ht="18">
      <c r="A203" s="1362">
        <f t="shared" si="47"/>
        <v>59.289999999999942</v>
      </c>
      <c r="B203" s="635" t="s">
        <v>2339</v>
      </c>
      <c r="C203" s="850" t="s">
        <v>2163</v>
      </c>
      <c r="D203" s="25"/>
      <c r="E203" s="117"/>
      <c r="F203" s="117"/>
      <c r="G203" s="117"/>
      <c r="H203" s="117"/>
      <c r="I203" s="117"/>
      <c r="J203" s="117"/>
      <c r="K203" s="117"/>
      <c r="L203" s="117"/>
      <c r="M203" s="117"/>
      <c r="N203" s="842" t="s">
        <v>2160</v>
      </c>
      <c r="O203" s="842" t="s">
        <v>2160</v>
      </c>
      <c r="P203" s="36">
        <v>232.32</v>
      </c>
      <c r="Q203" s="213">
        <f t="shared" si="49"/>
        <v>232.32</v>
      </c>
      <c r="R203" s="1035"/>
      <c r="S203" s="840" t="s">
        <v>2307</v>
      </c>
    </row>
    <row r="204" spans="1:24" ht="26.25" thickBot="1">
      <c r="A204" s="1365">
        <v>60</v>
      </c>
      <c r="B204" s="843" t="s">
        <v>2329</v>
      </c>
      <c r="C204" s="811"/>
      <c r="D204" s="803"/>
      <c r="E204" s="804"/>
      <c r="F204" s="804"/>
      <c r="G204" s="804"/>
      <c r="H204" s="804"/>
      <c r="I204" s="804"/>
      <c r="J204" s="804"/>
      <c r="K204" s="804"/>
      <c r="L204" s="804"/>
      <c r="M204" s="804"/>
      <c r="N204" s="806"/>
      <c r="O204" s="806"/>
      <c r="P204" s="806"/>
      <c r="Q204" s="1261"/>
      <c r="R204" s="1367"/>
      <c r="S204" s="453" t="s">
        <v>2688</v>
      </c>
      <c r="T204" s="453" t="s">
        <v>2689</v>
      </c>
      <c r="U204" s="453" t="s">
        <v>2691</v>
      </c>
      <c r="V204" s="839"/>
    </row>
    <row r="205" spans="1:24" ht="18">
      <c r="A205" s="1362">
        <f t="shared" ref="A205:A210" si="50">A204+0.01</f>
        <v>60.01</v>
      </c>
      <c r="B205" s="838" t="s">
        <v>1706</v>
      </c>
      <c r="C205" s="637" t="s">
        <v>2164</v>
      </c>
      <c r="D205" s="25"/>
      <c r="E205" s="117"/>
      <c r="F205" s="117"/>
      <c r="G205" s="117"/>
      <c r="H205" s="117"/>
      <c r="I205" s="117"/>
      <c r="J205" s="117"/>
      <c r="K205" s="117"/>
      <c r="L205" s="117"/>
      <c r="M205" s="117"/>
      <c r="N205" s="36">
        <v>1075</v>
      </c>
      <c r="O205" s="36">
        <f t="shared" si="36"/>
        <v>1075</v>
      </c>
      <c r="P205" s="115">
        <f>O205*102.67%</f>
        <v>1103.7024999999999</v>
      </c>
      <c r="Q205" s="1473">
        <f>0.5*S205</f>
        <v>1420</v>
      </c>
      <c r="R205" s="1252"/>
      <c r="S205" s="453">
        <v>2840</v>
      </c>
      <c r="T205" s="453">
        <v>3245</v>
      </c>
      <c r="U205" s="453">
        <v>1947</v>
      </c>
      <c r="V205" s="1375">
        <f t="shared" ref="V205:V210" si="51">(T205-U205)/T205</f>
        <v>0.4</v>
      </c>
      <c r="X205" s="1548">
        <f>(Q205-P205)/P205</f>
        <v>0.28657858435583877</v>
      </c>
    </row>
    <row r="206" spans="1:24" ht="18">
      <c r="A206" s="1362">
        <f t="shared" si="50"/>
        <v>60.019999999999996</v>
      </c>
      <c r="B206" s="838" t="s">
        <v>1707</v>
      </c>
      <c r="C206" s="637" t="s">
        <v>2164</v>
      </c>
      <c r="D206" s="25"/>
      <c r="E206" s="117"/>
      <c r="F206" s="117"/>
      <c r="G206" s="117"/>
      <c r="H206" s="117"/>
      <c r="I206" s="117"/>
      <c r="J206" s="117"/>
      <c r="K206" s="117"/>
      <c r="L206" s="117"/>
      <c r="M206" s="117"/>
      <c r="N206" s="36">
        <v>1721</v>
      </c>
      <c r="O206" s="36">
        <f t="shared" si="36"/>
        <v>1721</v>
      </c>
      <c r="P206" s="115">
        <f t="shared" ref="P206:P210" si="52">O206*102.67%</f>
        <v>1766.9506999999999</v>
      </c>
      <c r="Q206" s="1473">
        <f t="shared" ref="Q206:Q210" si="53">0.5*S206</f>
        <v>2110</v>
      </c>
      <c r="R206" s="1252"/>
      <c r="S206" s="453">
        <v>4220</v>
      </c>
      <c r="T206" s="875">
        <v>4775</v>
      </c>
      <c r="U206" s="453">
        <v>2865</v>
      </c>
      <c r="V206" s="1375">
        <f t="shared" si="51"/>
        <v>0.4</v>
      </c>
      <c r="X206" s="1549">
        <f t="shared" ref="X206:X210" si="54">(Q206-P206)/P206</f>
        <v>0.19414763524528453</v>
      </c>
    </row>
    <row r="207" spans="1:24" ht="18">
      <c r="A207" s="1362">
        <f t="shared" si="50"/>
        <v>60.029999999999994</v>
      </c>
      <c r="B207" s="838" t="s">
        <v>1708</v>
      </c>
      <c r="C207" s="637" t="s">
        <v>2164</v>
      </c>
      <c r="D207" s="25"/>
      <c r="E207" s="117"/>
      <c r="F207" s="117"/>
      <c r="G207" s="117"/>
      <c r="H207" s="117"/>
      <c r="I207" s="117"/>
      <c r="J207" s="117"/>
      <c r="K207" s="117"/>
      <c r="L207" s="117"/>
      <c r="M207" s="117"/>
      <c r="N207" s="36">
        <v>2528</v>
      </c>
      <c r="O207" s="36">
        <f t="shared" si="36"/>
        <v>2528</v>
      </c>
      <c r="P207" s="115">
        <f t="shared" si="52"/>
        <v>2595.4975999999997</v>
      </c>
      <c r="Q207" s="1473">
        <f t="shared" si="53"/>
        <v>3430</v>
      </c>
      <c r="R207" s="1252"/>
      <c r="S207" s="453">
        <v>6860</v>
      </c>
      <c r="T207" s="875">
        <v>7915</v>
      </c>
      <c r="U207" s="453">
        <v>4749</v>
      </c>
      <c r="V207" s="1375">
        <f t="shared" si="51"/>
        <v>0.4</v>
      </c>
      <c r="X207" s="1549">
        <f>(Q207-P207)/P207</f>
        <v>0.32151923392262061</v>
      </c>
    </row>
    <row r="208" spans="1:24" ht="18">
      <c r="A208" s="1362">
        <f t="shared" si="50"/>
        <v>60.039999999999992</v>
      </c>
      <c r="B208" s="838" t="s">
        <v>1709</v>
      </c>
      <c r="C208" s="637" t="s">
        <v>2164</v>
      </c>
      <c r="D208" s="25"/>
      <c r="E208" s="117"/>
      <c r="F208" s="117"/>
      <c r="G208" s="117"/>
      <c r="H208" s="117"/>
      <c r="I208" s="117"/>
      <c r="J208" s="117"/>
      <c r="K208" s="117"/>
      <c r="L208" s="117"/>
      <c r="M208" s="117"/>
      <c r="N208" s="36">
        <v>4088</v>
      </c>
      <c r="O208" s="36">
        <f t="shared" si="36"/>
        <v>4088</v>
      </c>
      <c r="P208" s="115">
        <f t="shared" si="52"/>
        <v>4197.1495999999997</v>
      </c>
      <c r="Q208" s="1473">
        <f t="shared" si="53"/>
        <v>5415</v>
      </c>
      <c r="R208" s="1252"/>
      <c r="S208" s="453">
        <v>10830</v>
      </c>
      <c r="T208" s="875">
        <v>12550</v>
      </c>
      <c r="U208" s="453">
        <v>7530</v>
      </c>
      <c r="V208" s="1375">
        <f t="shared" si="51"/>
        <v>0.4</v>
      </c>
      <c r="X208" s="1549">
        <f t="shared" si="54"/>
        <v>0.29016130375719756</v>
      </c>
    </row>
    <row r="209" spans="1:24" ht="18">
      <c r="A209" s="1362">
        <f t="shared" si="50"/>
        <v>60.04999999999999</v>
      </c>
      <c r="B209" s="838" t="s">
        <v>1710</v>
      </c>
      <c r="C209" s="637" t="s">
        <v>2164</v>
      </c>
      <c r="D209" s="25"/>
      <c r="E209" s="117"/>
      <c r="F209" s="117"/>
      <c r="G209" s="117"/>
      <c r="H209" s="117"/>
      <c r="I209" s="117"/>
      <c r="J209" s="117"/>
      <c r="K209" s="117"/>
      <c r="L209" s="117"/>
      <c r="M209" s="117"/>
      <c r="N209" s="36">
        <v>6455</v>
      </c>
      <c r="O209" s="36">
        <f t="shared" si="36"/>
        <v>6455</v>
      </c>
      <c r="P209" s="115">
        <f t="shared" si="52"/>
        <v>6627.3485000000001</v>
      </c>
      <c r="Q209" s="1473">
        <f t="shared" si="53"/>
        <v>8250</v>
      </c>
      <c r="R209" s="1252"/>
      <c r="S209" s="453">
        <v>16500</v>
      </c>
      <c r="T209" s="875">
        <v>18800</v>
      </c>
      <c r="U209" s="453">
        <v>11280</v>
      </c>
      <c r="V209" s="1375">
        <f t="shared" si="51"/>
        <v>0.4</v>
      </c>
      <c r="X209" s="1549">
        <f t="shared" si="54"/>
        <v>0.24484173421693456</v>
      </c>
    </row>
    <row r="210" spans="1:24" ht="18.75" thickBot="1">
      <c r="A210" s="1362">
        <f t="shared" si="50"/>
        <v>60.059999999999988</v>
      </c>
      <c r="B210" s="838" t="s">
        <v>1711</v>
      </c>
      <c r="C210" s="637" t="s">
        <v>2164</v>
      </c>
      <c r="D210" s="25"/>
      <c r="E210" s="117"/>
      <c r="F210" s="117"/>
      <c r="G210" s="117"/>
      <c r="H210" s="117"/>
      <c r="I210" s="117"/>
      <c r="J210" s="117"/>
      <c r="K210" s="117"/>
      <c r="L210" s="117"/>
      <c r="M210" s="117"/>
      <c r="N210" s="36">
        <v>10758</v>
      </c>
      <c r="O210" s="36">
        <f t="shared" ref="O210" si="55">N210</f>
        <v>10758</v>
      </c>
      <c r="P210" s="115">
        <f t="shared" si="52"/>
        <v>11045.238599999999</v>
      </c>
      <c r="Q210" s="1473">
        <f t="shared" si="53"/>
        <v>13365</v>
      </c>
      <c r="R210" s="1252"/>
      <c r="S210" s="453">
        <v>26730</v>
      </c>
      <c r="T210" s="875">
        <v>31795</v>
      </c>
      <c r="U210" s="453">
        <v>19077</v>
      </c>
      <c r="V210" s="1375">
        <f t="shared" si="51"/>
        <v>0.4</v>
      </c>
      <c r="X210" s="1550">
        <f t="shared" si="54"/>
        <v>0.210023656709417</v>
      </c>
    </row>
    <row r="211" spans="1:24" s="242" customFormat="1">
      <c r="A211" s="1364">
        <v>61</v>
      </c>
      <c r="B211" s="857" t="s">
        <v>1741</v>
      </c>
      <c r="C211" s="856"/>
      <c r="D211" s="818"/>
      <c r="E211" s="819"/>
      <c r="F211" s="819"/>
      <c r="G211" s="819"/>
      <c r="H211" s="819"/>
      <c r="I211" s="819"/>
      <c r="J211" s="819"/>
      <c r="K211" s="819"/>
      <c r="L211" s="819"/>
      <c r="M211" s="819"/>
      <c r="N211" s="820"/>
      <c r="O211" s="820"/>
      <c r="P211" s="820"/>
      <c r="Q211" s="1201"/>
      <c r="R211" s="870"/>
    </row>
    <row r="212" spans="1:24" ht="18">
      <c r="A212" s="1362">
        <f>A211+0.01</f>
        <v>61.01</v>
      </c>
      <c r="B212" s="851" t="s">
        <v>1742</v>
      </c>
      <c r="C212" s="637" t="s">
        <v>1787</v>
      </c>
      <c r="D212" s="25"/>
      <c r="E212" s="117"/>
      <c r="F212" s="117"/>
      <c r="G212" s="117"/>
      <c r="H212" s="117"/>
      <c r="I212" s="117"/>
      <c r="J212" s="117"/>
      <c r="K212" s="117"/>
      <c r="L212" s="117"/>
      <c r="M212" s="117"/>
      <c r="N212" s="842" t="s">
        <v>2160</v>
      </c>
      <c r="O212" s="36">
        <v>325</v>
      </c>
      <c r="P212" s="36">
        <f t="shared" si="39"/>
        <v>325</v>
      </c>
      <c r="Q212" s="213">
        <f>P212</f>
        <v>325</v>
      </c>
      <c r="R212" s="194"/>
    </row>
    <row r="213" spans="1:24" ht="18">
      <c r="A213" s="1362">
        <f t="shared" ref="A213:A216" si="56">A212+0.01</f>
        <v>61.019999999999996</v>
      </c>
      <c r="B213" s="851" t="s">
        <v>1743</v>
      </c>
      <c r="C213" s="637" t="s">
        <v>1787</v>
      </c>
      <c r="D213" s="25"/>
      <c r="E213" s="117"/>
      <c r="F213" s="117"/>
      <c r="G213" s="117"/>
      <c r="H213" s="117"/>
      <c r="I213" s="117"/>
      <c r="J213" s="117"/>
      <c r="K213" s="117"/>
      <c r="L213" s="117"/>
      <c r="M213" s="117"/>
      <c r="N213" s="842" t="s">
        <v>2160</v>
      </c>
      <c r="O213" s="36">
        <v>350</v>
      </c>
      <c r="P213" s="36">
        <f t="shared" si="39"/>
        <v>350</v>
      </c>
      <c r="Q213" s="213">
        <f t="shared" ref="Q213:Q216" si="57">P213</f>
        <v>350</v>
      </c>
      <c r="R213" s="194"/>
      <c r="S213" s="839">
        <v>300</v>
      </c>
      <c r="T213" s="839" t="s">
        <v>2687</v>
      </c>
    </row>
    <row r="214" spans="1:24" ht="18">
      <c r="A214" s="1362">
        <f t="shared" si="56"/>
        <v>61.029999999999994</v>
      </c>
      <c r="B214" s="851" t="s">
        <v>1744</v>
      </c>
      <c r="C214" s="637" t="s">
        <v>1787</v>
      </c>
      <c r="D214" s="25"/>
      <c r="E214" s="117"/>
      <c r="F214" s="117"/>
      <c r="G214" s="117"/>
      <c r="H214" s="117"/>
      <c r="I214" s="117"/>
      <c r="J214" s="117"/>
      <c r="K214" s="117"/>
      <c r="L214" s="117"/>
      <c r="M214" s="117"/>
      <c r="N214" s="842" t="s">
        <v>2160</v>
      </c>
      <c r="O214" s="36">
        <v>410</v>
      </c>
      <c r="P214" s="36">
        <f t="shared" si="39"/>
        <v>410</v>
      </c>
      <c r="Q214" s="213">
        <f t="shared" si="57"/>
        <v>410</v>
      </c>
      <c r="R214" s="194"/>
      <c r="S214" s="839"/>
      <c r="T214" s="839"/>
    </row>
    <row r="215" spans="1:24" ht="18">
      <c r="A215" s="1362">
        <f t="shared" si="56"/>
        <v>61.039999999999992</v>
      </c>
      <c r="B215" s="851" t="s">
        <v>1745</v>
      </c>
      <c r="C215" s="637" t="s">
        <v>1787</v>
      </c>
      <c r="D215" s="25"/>
      <c r="E215" s="117"/>
      <c r="F215" s="117"/>
      <c r="G215" s="117"/>
      <c r="H215" s="117"/>
      <c r="I215" s="117"/>
      <c r="J215" s="117"/>
      <c r="K215" s="117"/>
      <c r="L215" s="117"/>
      <c r="M215" s="117"/>
      <c r="N215" s="842" t="s">
        <v>2160</v>
      </c>
      <c r="O215" s="36">
        <v>585</v>
      </c>
      <c r="P215" s="36">
        <f t="shared" si="39"/>
        <v>585</v>
      </c>
      <c r="Q215" s="213">
        <f t="shared" si="57"/>
        <v>585</v>
      </c>
      <c r="R215" s="194"/>
      <c r="S215" s="839"/>
      <c r="T215" s="839"/>
    </row>
    <row r="216" spans="1:24" ht="18">
      <c r="A216" s="1362">
        <f t="shared" si="56"/>
        <v>61.04999999999999</v>
      </c>
      <c r="B216" s="851" t="s">
        <v>1746</v>
      </c>
      <c r="C216" s="637" t="s">
        <v>1787</v>
      </c>
      <c r="D216" s="25"/>
      <c r="E216" s="117"/>
      <c r="F216" s="117"/>
      <c r="G216" s="117"/>
      <c r="H216" s="117"/>
      <c r="I216" s="117"/>
      <c r="J216" s="117"/>
      <c r="K216" s="117"/>
      <c r="L216" s="117"/>
      <c r="M216" s="117"/>
      <c r="N216" s="842" t="s">
        <v>2160</v>
      </c>
      <c r="O216" s="36">
        <v>670</v>
      </c>
      <c r="P216" s="36">
        <f t="shared" si="39"/>
        <v>670</v>
      </c>
      <c r="Q216" s="213">
        <f t="shared" si="57"/>
        <v>670</v>
      </c>
      <c r="R216" s="194"/>
      <c r="S216" s="839">
        <v>570</v>
      </c>
      <c r="T216" s="839" t="s">
        <v>2686</v>
      </c>
    </row>
    <row r="217" spans="1:24" s="242" customFormat="1">
      <c r="A217" s="1364">
        <v>62</v>
      </c>
      <c r="B217" s="807" t="s">
        <v>1747</v>
      </c>
      <c r="C217" s="856"/>
      <c r="D217" s="818"/>
      <c r="E217" s="819"/>
      <c r="F217" s="819"/>
      <c r="G217" s="819"/>
      <c r="H217" s="819"/>
      <c r="I217" s="819"/>
      <c r="J217" s="819"/>
      <c r="K217" s="819"/>
      <c r="L217" s="819"/>
      <c r="M217" s="819"/>
      <c r="N217" s="820"/>
      <c r="O217" s="820"/>
      <c r="P217" s="820"/>
      <c r="Q217" s="1201"/>
      <c r="R217" s="870"/>
      <c r="S217" s="649"/>
      <c r="T217" s="649"/>
    </row>
    <row r="218" spans="1:24" ht="18">
      <c r="A218" s="1362">
        <f>A217+0.01</f>
        <v>62.01</v>
      </c>
      <c r="B218" s="851" t="s">
        <v>1746</v>
      </c>
      <c r="C218" s="637" t="s">
        <v>1787</v>
      </c>
      <c r="D218" s="25"/>
      <c r="E218" s="117"/>
      <c r="F218" s="117"/>
      <c r="G218" s="117"/>
      <c r="H218" s="117"/>
      <c r="I218" s="117"/>
      <c r="J218" s="117"/>
      <c r="K218" s="117"/>
      <c r="L218" s="117"/>
      <c r="M218" s="117"/>
      <c r="N218" s="842" t="s">
        <v>2160</v>
      </c>
      <c r="O218" s="36">
        <v>3330</v>
      </c>
      <c r="P218" s="36">
        <f t="shared" si="39"/>
        <v>3330</v>
      </c>
      <c r="Q218" s="213">
        <f>P218</f>
        <v>3330</v>
      </c>
      <c r="R218" s="194"/>
      <c r="S218" s="839"/>
      <c r="T218" s="839"/>
    </row>
    <row r="219" spans="1:24" ht="18">
      <c r="A219" s="1362">
        <f t="shared" ref="A219:A220" si="58">A218+0.01</f>
        <v>62.019999999999996</v>
      </c>
      <c r="B219" s="851" t="s">
        <v>1748</v>
      </c>
      <c r="C219" s="637" t="s">
        <v>1787</v>
      </c>
      <c r="D219" s="25"/>
      <c r="E219" s="117"/>
      <c r="F219" s="117"/>
      <c r="G219" s="117"/>
      <c r="H219" s="117"/>
      <c r="I219" s="117"/>
      <c r="J219" s="117"/>
      <c r="K219" s="117"/>
      <c r="L219" s="117"/>
      <c r="M219" s="117"/>
      <c r="N219" s="842" t="s">
        <v>2160</v>
      </c>
      <c r="O219" s="36">
        <v>4145</v>
      </c>
      <c r="P219" s="36">
        <f t="shared" si="39"/>
        <v>4145</v>
      </c>
      <c r="Q219" s="213">
        <f t="shared" ref="Q219:Q220" si="59">P219</f>
        <v>4145</v>
      </c>
      <c r="R219" s="194"/>
      <c r="S219" s="839"/>
      <c r="T219" s="839"/>
    </row>
    <row r="220" spans="1:24" ht="18">
      <c r="A220" s="1362">
        <f t="shared" si="58"/>
        <v>62.029999999999994</v>
      </c>
      <c r="B220" s="851" t="s">
        <v>1749</v>
      </c>
      <c r="C220" s="637" t="s">
        <v>1787</v>
      </c>
      <c r="D220" s="25"/>
      <c r="E220" s="117"/>
      <c r="F220" s="117"/>
      <c r="G220" s="117"/>
      <c r="H220" s="117"/>
      <c r="I220" s="117"/>
      <c r="J220" s="117"/>
      <c r="K220" s="117"/>
      <c r="L220" s="117"/>
      <c r="M220" s="117"/>
      <c r="N220" s="842" t="s">
        <v>2160</v>
      </c>
      <c r="O220" s="36">
        <v>5050</v>
      </c>
      <c r="P220" s="36">
        <f t="shared" si="39"/>
        <v>5050</v>
      </c>
      <c r="Q220" s="213">
        <f t="shared" si="59"/>
        <v>5050</v>
      </c>
      <c r="R220" s="194"/>
      <c r="S220" s="839"/>
      <c r="T220" s="839"/>
    </row>
    <row r="221" spans="1:24" s="242" customFormat="1">
      <c r="A221" s="1364">
        <v>63</v>
      </c>
      <c r="B221" s="807" t="s">
        <v>1750</v>
      </c>
      <c r="C221" s="856"/>
      <c r="D221" s="818"/>
      <c r="E221" s="819"/>
      <c r="F221" s="819"/>
      <c r="G221" s="819"/>
      <c r="H221" s="819"/>
      <c r="I221" s="819"/>
      <c r="J221" s="819"/>
      <c r="K221" s="819"/>
      <c r="L221" s="819"/>
      <c r="M221" s="819"/>
      <c r="N221" s="820"/>
      <c r="O221" s="820"/>
      <c r="P221" s="820"/>
      <c r="Q221" s="1201"/>
      <c r="R221" s="870"/>
      <c r="S221" s="649"/>
      <c r="T221" s="649"/>
    </row>
    <row r="222" spans="1:24" ht="18">
      <c r="A222" s="1362">
        <f>A221+0.01</f>
        <v>63.01</v>
      </c>
      <c r="B222" s="851" t="s">
        <v>1751</v>
      </c>
      <c r="C222" s="637" t="s">
        <v>1787</v>
      </c>
      <c r="D222" s="25"/>
      <c r="E222" s="117"/>
      <c r="F222" s="117"/>
      <c r="G222" s="117"/>
      <c r="H222" s="117"/>
      <c r="I222" s="117"/>
      <c r="J222" s="117"/>
      <c r="K222" s="117"/>
      <c r="L222" s="117"/>
      <c r="M222" s="117"/>
      <c r="N222" s="842" t="s">
        <v>2160</v>
      </c>
      <c r="O222" s="36">
        <v>7450</v>
      </c>
      <c r="P222" s="36">
        <f t="shared" si="39"/>
        <v>7450</v>
      </c>
      <c r="Q222" s="213">
        <f>P222</f>
        <v>7450</v>
      </c>
      <c r="R222" s="194"/>
      <c r="S222" s="839">
        <v>4587</v>
      </c>
      <c r="T222" s="839" t="s">
        <v>2686</v>
      </c>
    </row>
    <row r="223" spans="1:24" ht="18">
      <c r="A223" s="1362">
        <f>A222+0.01</f>
        <v>63.019999999999996</v>
      </c>
      <c r="B223" s="851" t="s">
        <v>1752</v>
      </c>
      <c r="C223" s="637" t="s">
        <v>1787</v>
      </c>
      <c r="D223" s="25"/>
      <c r="E223" s="117"/>
      <c r="F223" s="117"/>
      <c r="G223" s="117"/>
      <c r="H223" s="117"/>
      <c r="I223" s="117"/>
      <c r="J223" s="117"/>
      <c r="K223" s="117"/>
      <c r="L223" s="117"/>
      <c r="M223" s="117"/>
      <c r="N223" s="842" t="s">
        <v>2160</v>
      </c>
      <c r="O223" s="36">
        <v>11090</v>
      </c>
      <c r="P223" s="36">
        <f t="shared" si="39"/>
        <v>11090</v>
      </c>
      <c r="Q223" s="213">
        <f>P223</f>
        <v>11090</v>
      </c>
      <c r="R223" s="194"/>
      <c r="S223" s="839"/>
      <c r="T223" s="839"/>
    </row>
    <row r="224" spans="1:24" s="242" customFormat="1">
      <c r="A224" s="1364">
        <v>64</v>
      </c>
      <c r="B224" s="807" t="s">
        <v>1761</v>
      </c>
      <c r="C224" s="856"/>
      <c r="D224" s="818"/>
      <c r="E224" s="819"/>
      <c r="F224" s="819"/>
      <c r="G224" s="819"/>
      <c r="H224" s="819"/>
      <c r="I224" s="819"/>
      <c r="J224" s="819"/>
      <c r="K224" s="819"/>
      <c r="L224" s="819"/>
      <c r="M224" s="819"/>
      <c r="N224" s="820"/>
      <c r="O224" s="820"/>
      <c r="P224" s="820"/>
      <c r="Q224" s="1201"/>
      <c r="R224" s="870"/>
    </row>
    <row r="225" spans="1:18" ht="18">
      <c r="A225" s="1362">
        <f>A224+0.01</f>
        <v>64.010000000000005</v>
      </c>
      <c r="B225" s="851" t="s">
        <v>1742</v>
      </c>
      <c r="C225" s="637" t="s">
        <v>1787</v>
      </c>
      <c r="D225" s="25"/>
      <c r="E225" s="117"/>
      <c r="F225" s="117"/>
      <c r="G225" s="117"/>
      <c r="H225" s="117"/>
      <c r="I225" s="117"/>
      <c r="J225" s="117"/>
      <c r="K225" s="117"/>
      <c r="L225" s="117"/>
      <c r="M225" s="117"/>
      <c r="N225" s="842" t="s">
        <v>2160</v>
      </c>
      <c r="O225" s="36">
        <v>1580</v>
      </c>
      <c r="P225" s="36">
        <f t="shared" si="39"/>
        <v>1580</v>
      </c>
      <c r="Q225" s="213">
        <f>P225</f>
        <v>1580</v>
      </c>
      <c r="R225" s="194"/>
    </row>
    <row r="226" spans="1:18" ht="18.75" thickBot="1">
      <c r="A226" s="1366">
        <f>A225+0.01</f>
        <v>64.02000000000001</v>
      </c>
      <c r="B226" s="871" t="s">
        <v>1743</v>
      </c>
      <c r="C226" s="872" t="s">
        <v>1787</v>
      </c>
      <c r="D226" s="73"/>
      <c r="E226" s="180"/>
      <c r="F226" s="180"/>
      <c r="G226" s="180"/>
      <c r="H226" s="180"/>
      <c r="I226" s="180"/>
      <c r="J226" s="180"/>
      <c r="K226" s="180"/>
      <c r="L226" s="180"/>
      <c r="M226" s="180"/>
      <c r="N226" s="873" t="s">
        <v>2160</v>
      </c>
      <c r="O226" s="664">
        <v>1700</v>
      </c>
      <c r="P226" s="664">
        <f t="shared" si="39"/>
        <v>1700</v>
      </c>
      <c r="Q226" s="213">
        <f>P226</f>
        <v>1700</v>
      </c>
      <c r="R226" s="201"/>
    </row>
  </sheetData>
  <mergeCells count="1">
    <mergeCell ref="A1:R1"/>
  </mergeCells>
  <phoneticPr fontId="105" type="noConversion"/>
  <conditionalFormatting sqref="D141:D149 D152:D156 D159:D173">
    <cfRule type="cellIs" dxfId="1" priority="1" operator="lessThan">
      <formula>#REF!</formula>
    </cfRule>
    <cfRule type="cellIs" dxfId="0" priority="2" operator="greaterThan">
      <formula>#REF!</formula>
    </cfRule>
  </conditionalFormatting>
  <printOptions horizontalCentered="1"/>
  <pageMargins left="1.24" right="0.19" top="1.03" bottom="0.73" header="0.5" footer="0.56999999999999995"/>
  <pageSetup paperSize="9" scale="81"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pageSetUpPr fitToPage="1"/>
  </sheetPr>
  <dimension ref="A1:U26"/>
  <sheetViews>
    <sheetView tabSelected="1" view="pageLayout" zoomScaleNormal="100" zoomScaleSheetLayoutView="100" workbookViewId="0">
      <selection activeCell="D24" sqref="D24"/>
    </sheetView>
  </sheetViews>
  <sheetFormatPr defaultColWidth="9.28515625" defaultRowHeight="15"/>
  <cols>
    <col min="1" max="1" width="6.5703125" style="60" customWidth="1"/>
    <col min="2" max="2" width="44.28515625" style="61" customWidth="1"/>
    <col min="3" max="3" width="7.85546875" style="60" customWidth="1"/>
    <col min="4" max="4" width="4.42578125" style="60" hidden="1" customWidth="1"/>
    <col min="5" max="5" width="9.7109375" style="62" hidden="1" customWidth="1"/>
    <col min="6" max="6" width="10.28515625" style="62" hidden="1" customWidth="1"/>
    <col min="7" max="7" width="4.42578125" style="62" hidden="1" customWidth="1"/>
    <col min="8" max="8" width="13.28515625" style="62" hidden="1" customWidth="1"/>
    <col min="9" max="13" width="12.7109375" style="62" hidden="1" customWidth="1"/>
    <col min="14" max="14" width="12.7109375" style="13" hidden="1" customWidth="1"/>
    <col min="15" max="17" width="12.7109375" style="13" customWidth="1"/>
    <col min="18" max="18" width="6.5703125" style="13" customWidth="1"/>
    <col min="19" max="19" width="10.7109375" style="13" customWidth="1"/>
    <col min="20" max="20" width="9.7109375" style="13" bestFit="1" customWidth="1"/>
    <col min="21" max="16384" width="9.28515625" style="13"/>
  </cols>
  <sheetData>
    <row r="1" spans="1:18" ht="29.25" thickBot="1">
      <c r="A1" s="1606" t="s">
        <v>2178</v>
      </c>
      <c r="B1" s="1606"/>
      <c r="C1" s="1606"/>
      <c r="D1" s="1606"/>
      <c r="E1" s="1606"/>
      <c r="F1" s="1606"/>
      <c r="G1" s="1606"/>
      <c r="H1" s="1606"/>
      <c r="I1" s="1606"/>
      <c r="J1" s="1606"/>
      <c r="K1" s="1606"/>
      <c r="L1" s="1606"/>
      <c r="M1" s="1606"/>
      <c r="N1" s="1606"/>
      <c r="O1" s="1606"/>
      <c r="P1" s="1606"/>
      <c r="Q1" s="1606"/>
      <c r="R1" s="1606"/>
    </row>
    <row r="2" spans="1:18" ht="52.15" customHeight="1">
      <c r="A2" s="825" t="s">
        <v>0</v>
      </c>
      <c r="B2" s="824" t="s">
        <v>51</v>
      </c>
      <c r="C2" s="824" t="s">
        <v>8</v>
      </c>
      <c r="D2" s="484" t="s">
        <v>52</v>
      </c>
      <c r="E2" s="485" t="s">
        <v>53</v>
      </c>
      <c r="F2" s="485" t="s">
        <v>54</v>
      </c>
      <c r="G2" s="485" t="s">
        <v>55</v>
      </c>
      <c r="H2" s="654" t="s">
        <v>1386</v>
      </c>
      <c r="I2" s="654" t="s">
        <v>1421</v>
      </c>
      <c r="J2" s="486" t="s">
        <v>1417</v>
      </c>
      <c r="K2" s="486" t="s">
        <v>1428</v>
      </c>
      <c r="L2" s="486" t="s">
        <v>1432</v>
      </c>
      <c r="M2" s="486" t="s">
        <v>1463</v>
      </c>
      <c r="N2" s="487" t="s">
        <v>2190</v>
      </c>
      <c r="O2" s="487" t="s">
        <v>2191</v>
      </c>
      <c r="P2" s="487" t="s">
        <v>2192</v>
      </c>
      <c r="Q2" s="487" t="s">
        <v>2543</v>
      </c>
      <c r="R2" s="823" t="s">
        <v>9</v>
      </c>
    </row>
    <row r="3" spans="1:18" ht="15" customHeight="1">
      <c r="A3" s="655"/>
      <c r="B3" s="653" t="s">
        <v>813</v>
      </c>
      <c r="C3" s="123"/>
      <c r="D3" s="124"/>
      <c r="E3" s="48"/>
      <c r="F3" s="48"/>
      <c r="G3" s="48"/>
      <c r="H3" s="48"/>
      <c r="I3" s="48"/>
      <c r="J3" s="48"/>
      <c r="K3" s="48"/>
      <c r="L3" s="48"/>
      <c r="M3" s="48"/>
      <c r="N3" s="309"/>
      <c r="O3" s="309"/>
      <c r="P3" s="309"/>
      <c r="Q3" s="1240"/>
      <c r="R3" s="194"/>
    </row>
    <row r="4" spans="1:18" ht="15" customHeight="1">
      <c r="A4" s="656" t="s">
        <v>814</v>
      </c>
      <c r="B4" s="623" t="s">
        <v>815</v>
      </c>
      <c r="C4" s="627"/>
      <c r="D4" s="628"/>
      <c r="E4" s="657"/>
      <c r="F4" s="657"/>
      <c r="G4" s="657"/>
      <c r="H4" s="657"/>
      <c r="I4" s="657"/>
      <c r="J4" s="657"/>
      <c r="K4" s="657"/>
      <c r="L4" s="657"/>
      <c r="M4" s="657"/>
      <c r="N4" s="628"/>
      <c r="O4" s="628"/>
      <c r="P4" s="628"/>
      <c r="Q4" s="1241"/>
      <c r="R4" s="658"/>
    </row>
    <row r="5" spans="1:18" ht="15" customHeight="1">
      <c r="A5" s="656">
        <v>1</v>
      </c>
      <c r="B5" s="623" t="s">
        <v>816</v>
      </c>
      <c r="C5" s="627"/>
      <c r="D5" s="659"/>
      <c r="E5" s="660"/>
      <c r="F5" s="660"/>
      <c r="G5" s="660"/>
      <c r="H5" s="660"/>
      <c r="I5" s="660"/>
      <c r="J5" s="660"/>
      <c r="K5" s="660"/>
      <c r="L5" s="660"/>
      <c r="M5" s="660"/>
      <c r="N5" s="659"/>
      <c r="O5" s="659"/>
      <c r="P5" s="628"/>
      <c r="Q5" s="1241"/>
      <c r="R5" s="658"/>
    </row>
    <row r="6" spans="1:18" ht="15" customHeight="1">
      <c r="A6" s="128" t="s">
        <v>161</v>
      </c>
      <c r="B6" s="661" t="s">
        <v>817</v>
      </c>
      <c r="C6" s="123" t="s">
        <v>115</v>
      </c>
      <c r="D6" s="80"/>
      <c r="E6" s="279"/>
      <c r="F6" s="279"/>
      <c r="G6" s="279"/>
      <c r="H6" s="279">
        <v>17700</v>
      </c>
      <c r="I6" s="279">
        <v>17700</v>
      </c>
      <c r="J6" s="279">
        <f>I6</f>
        <v>17700</v>
      </c>
      <c r="K6" s="279">
        <f>J6</f>
        <v>17700</v>
      </c>
      <c r="L6" s="279">
        <f>K6</f>
        <v>17700</v>
      </c>
      <c r="M6" s="279">
        <f>L6*1.1</f>
        <v>19470</v>
      </c>
      <c r="N6" s="279">
        <f>M6</f>
        <v>19470</v>
      </c>
      <c r="O6" s="279">
        <f>N6</f>
        <v>19470</v>
      </c>
      <c r="P6" s="279">
        <f>O6</f>
        <v>19470</v>
      </c>
      <c r="Q6" s="1206">
        <f>P6</f>
        <v>19470</v>
      </c>
      <c r="R6" s="194"/>
    </row>
    <row r="7" spans="1:18" ht="15" customHeight="1">
      <c r="A7" s="128" t="s">
        <v>163</v>
      </c>
      <c r="B7" s="661" t="s">
        <v>818</v>
      </c>
      <c r="C7" s="123" t="s">
        <v>796</v>
      </c>
      <c r="D7" s="80"/>
      <c r="E7" s="279"/>
      <c r="F7" s="279"/>
      <c r="G7" s="279"/>
      <c r="H7" s="279">
        <v>10100</v>
      </c>
      <c r="I7" s="279">
        <v>10100</v>
      </c>
      <c r="J7" s="279">
        <f>I7</f>
        <v>10100</v>
      </c>
      <c r="K7" s="279">
        <f t="shared" ref="K7:K25" si="0">J7</f>
        <v>10100</v>
      </c>
      <c r="L7" s="279">
        <f t="shared" ref="L7:L25" si="1">K7</f>
        <v>10100</v>
      </c>
      <c r="M7" s="279">
        <f t="shared" ref="M7:M25" si="2">L7*1.1</f>
        <v>11110</v>
      </c>
      <c r="N7" s="279">
        <f t="shared" ref="N7:N25" si="3">M7</f>
        <v>11110</v>
      </c>
      <c r="O7" s="279">
        <f t="shared" ref="O7:O25" si="4">N7</f>
        <v>11110</v>
      </c>
      <c r="P7" s="279">
        <f>O7</f>
        <v>11110</v>
      </c>
      <c r="Q7" s="1206">
        <f>P7</f>
        <v>11110</v>
      </c>
      <c r="R7" s="194"/>
    </row>
    <row r="8" spans="1:18" ht="15" customHeight="1">
      <c r="A8" s="656">
        <v>2</v>
      </c>
      <c r="B8" s="623" t="s">
        <v>819</v>
      </c>
      <c r="C8" s="627"/>
      <c r="D8" s="659"/>
      <c r="E8" s="660"/>
      <c r="F8" s="660"/>
      <c r="G8" s="660"/>
      <c r="H8" s="660"/>
      <c r="I8" s="660"/>
      <c r="J8" s="660"/>
      <c r="K8" s="660"/>
      <c r="L8" s="660"/>
      <c r="M8" s="660"/>
      <c r="N8" s="660"/>
      <c r="O8" s="660"/>
      <c r="P8" s="660"/>
      <c r="Q8" s="1242"/>
      <c r="R8" s="658"/>
    </row>
    <row r="9" spans="1:18" ht="15" customHeight="1">
      <c r="A9" s="127" t="s">
        <v>165</v>
      </c>
      <c r="B9" s="661" t="s">
        <v>820</v>
      </c>
      <c r="C9" s="123" t="s">
        <v>294</v>
      </c>
      <c r="D9" s="80"/>
      <c r="E9" s="279"/>
      <c r="F9" s="279"/>
      <c r="G9" s="279"/>
      <c r="H9" s="279">
        <v>3350</v>
      </c>
      <c r="I9" s="279">
        <v>3350</v>
      </c>
      <c r="J9" s="279">
        <f>I9</f>
        <v>3350</v>
      </c>
      <c r="K9" s="279">
        <f t="shared" si="0"/>
        <v>3350</v>
      </c>
      <c r="L9" s="279">
        <f t="shared" si="1"/>
        <v>3350</v>
      </c>
      <c r="M9" s="279">
        <f t="shared" si="2"/>
        <v>3685.0000000000005</v>
      </c>
      <c r="N9" s="279">
        <f t="shared" si="3"/>
        <v>3685.0000000000005</v>
      </c>
      <c r="O9" s="279">
        <f t="shared" si="4"/>
        <v>3685.0000000000005</v>
      </c>
      <c r="P9" s="279">
        <f>O9</f>
        <v>3685.0000000000005</v>
      </c>
      <c r="Q9" s="1206">
        <f t="shared" ref="Q9:Q11" si="5">P9</f>
        <v>3685.0000000000005</v>
      </c>
      <c r="R9" s="194"/>
    </row>
    <row r="10" spans="1:18" ht="15" customHeight="1">
      <c r="A10" s="125">
        <v>3</v>
      </c>
      <c r="B10" s="122" t="s">
        <v>821</v>
      </c>
      <c r="C10" s="123"/>
      <c r="D10" s="80"/>
      <c r="E10" s="279"/>
      <c r="F10" s="279"/>
      <c r="G10" s="279"/>
      <c r="H10" s="279"/>
      <c r="I10" s="279"/>
      <c r="J10" s="279"/>
      <c r="K10" s="279"/>
      <c r="L10" s="279"/>
      <c r="M10" s="279"/>
      <c r="N10" s="279"/>
      <c r="O10" s="279"/>
      <c r="P10" s="279"/>
      <c r="Q10" s="1206"/>
      <c r="R10" s="194"/>
    </row>
    <row r="11" spans="1:18" ht="25.5">
      <c r="A11" s="128" t="s">
        <v>186</v>
      </c>
      <c r="B11" s="662" t="s">
        <v>822</v>
      </c>
      <c r="C11" s="123" t="s">
        <v>796</v>
      </c>
      <c r="D11" s="80"/>
      <c r="E11" s="279"/>
      <c r="F11" s="279"/>
      <c r="G11" s="279"/>
      <c r="H11" s="279">
        <v>300000</v>
      </c>
      <c r="I11" s="279">
        <v>300000</v>
      </c>
      <c r="J11" s="279">
        <f>I11</f>
        <v>300000</v>
      </c>
      <c r="K11" s="279">
        <f t="shared" si="0"/>
        <v>300000</v>
      </c>
      <c r="L11" s="279">
        <f t="shared" si="1"/>
        <v>300000</v>
      </c>
      <c r="M11" s="279">
        <f t="shared" si="2"/>
        <v>330000</v>
      </c>
      <c r="N11" s="279">
        <f t="shared" si="3"/>
        <v>330000</v>
      </c>
      <c r="O11" s="279">
        <f t="shared" si="4"/>
        <v>330000</v>
      </c>
      <c r="P11" s="279">
        <f>O11</f>
        <v>330000</v>
      </c>
      <c r="Q11" s="1206">
        <f t="shared" si="5"/>
        <v>330000</v>
      </c>
      <c r="R11" s="194"/>
    </row>
    <row r="12" spans="1:18" ht="15" customHeight="1">
      <c r="A12" s="126" t="s">
        <v>23</v>
      </c>
      <c r="B12" s="122" t="s">
        <v>823</v>
      </c>
      <c r="C12" s="123"/>
      <c r="D12" s="80"/>
      <c r="E12" s="279"/>
      <c r="F12" s="279"/>
      <c r="G12" s="279"/>
      <c r="H12" s="279"/>
      <c r="I12" s="279"/>
      <c r="J12" s="279"/>
      <c r="K12" s="279"/>
      <c r="L12" s="279"/>
      <c r="M12" s="279"/>
      <c r="N12" s="279"/>
      <c r="O12" s="279"/>
      <c r="P12" s="279"/>
      <c r="Q12" s="1206"/>
      <c r="R12" s="194"/>
    </row>
    <row r="13" spans="1:18" ht="15" customHeight="1">
      <c r="A13" s="656">
        <v>1</v>
      </c>
      <c r="B13" s="623" t="s">
        <v>824</v>
      </c>
      <c r="C13" s="627"/>
      <c r="D13" s="659"/>
      <c r="E13" s="660"/>
      <c r="F13" s="660"/>
      <c r="G13" s="660"/>
      <c r="H13" s="660"/>
      <c r="I13" s="660"/>
      <c r="J13" s="660"/>
      <c r="K13" s="660"/>
      <c r="L13" s="660"/>
      <c r="M13" s="660"/>
      <c r="N13" s="660"/>
      <c r="O13" s="660"/>
      <c r="P13" s="660"/>
      <c r="Q13" s="1242"/>
      <c r="R13" s="658"/>
    </row>
    <row r="14" spans="1:18" ht="15" customHeight="1">
      <c r="A14" s="127" t="s">
        <v>161</v>
      </c>
      <c r="B14" s="661" t="s">
        <v>825</v>
      </c>
      <c r="C14" s="123" t="s">
        <v>796</v>
      </c>
      <c r="D14" s="80"/>
      <c r="E14" s="279"/>
      <c r="F14" s="279"/>
      <c r="G14" s="279"/>
      <c r="H14" s="279">
        <v>15000</v>
      </c>
      <c r="I14" s="279">
        <v>15000</v>
      </c>
      <c r="J14" s="279">
        <f>I14</f>
        <v>15000</v>
      </c>
      <c r="K14" s="279">
        <f t="shared" si="0"/>
        <v>15000</v>
      </c>
      <c r="L14" s="279">
        <f t="shared" si="1"/>
        <v>15000</v>
      </c>
      <c r="M14" s="279">
        <f t="shared" si="2"/>
        <v>16500</v>
      </c>
      <c r="N14" s="279">
        <f t="shared" si="3"/>
        <v>16500</v>
      </c>
      <c r="O14" s="279">
        <f t="shared" si="4"/>
        <v>16500</v>
      </c>
      <c r="P14" s="279">
        <f>O14</f>
        <v>16500</v>
      </c>
      <c r="Q14" s="1206">
        <f t="shared" ref="Q14" si="6">P14</f>
        <v>16500</v>
      </c>
      <c r="R14" s="1671" t="s">
        <v>2179</v>
      </c>
    </row>
    <row r="15" spans="1:18" ht="15" customHeight="1">
      <c r="A15" s="656">
        <v>2</v>
      </c>
      <c r="B15" s="623" t="s">
        <v>826</v>
      </c>
      <c r="C15" s="627"/>
      <c r="D15" s="659"/>
      <c r="E15" s="660"/>
      <c r="F15" s="660"/>
      <c r="G15" s="660"/>
      <c r="H15" s="660"/>
      <c r="I15" s="660"/>
      <c r="J15" s="660"/>
      <c r="K15" s="660"/>
      <c r="L15" s="660"/>
      <c r="M15" s="660"/>
      <c r="N15" s="660"/>
      <c r="O15" s="660"/>
      <c r="P15" s="660"/>
      <c r="Q15" s="1243"/>
      <c r="R15" s="1672"/>
    </row>
    <row r="16" spans="1:18" ht="15" customHeight="1">
      <c r="A16" s="127" t="s">
        <v>165</v>
      </c>
      <c r="B16" s="661" t="s">
        <v>827</v>
      </c>
      <c r="C16" s="123"/>
      <c r="D16" s="80"/>
      <c r="E16" s="279"/>
      <c r="F16" s="279"/>
      <c r="G16" s="279"/>
      <c r="H16" s="279"/>
      <c r="I16" s="279"/>
      <c r="J16" s="279"/>
      <c r="K16" s="279"/>
      <c r="L16" s="279"/>
      <c r="M16" s="279"/>
      <c r="N16" s="279"/>
      <c r="O16" s="279"/>
      <c r="P16" s="279"/>
      <c r="Q16" s="1244"/>
      <c r="R16" s="1672"/>
    </row>
    <row r="17" spans="1:21" ht="15" customHeight="1">
      <c r="A17" s="127"/>
      <c r="B17" s="661" t="s">
        <v>828</v>
      </c>
      <c r="C17" s="123" t="s">
        <v>88</v>
      </c>
      <c r="D17" s="80"/>
      <c r="E17" s="279"/>
      <c r="F17" s="279"/>
      <c r="G17" s="279"/>
      <c r="H17" s="279">
        <v>7100</v>
      </c>
      <c r="I17" s="279">
        <v>7100</v>
      </c>
      <c r="J17" s="279">
        <f>I17</f>
        <v>7100</v>
      </c>
      <c r="K17" s="279">
        <f t="shared" si="0"/>
        <v>7100</v>
      </c>
      <c r="L17" s="279">
        <f t="shared" si="1"/>
        <v>7100</v>
      </c>
      <c r="M17" s="279">
        <f t="shared" si="2"/>
        <v>7810.0000000000009</v>
      </c>
      <c r="N17" s="279">
        <f t="shared" si="3"/>
        <v>7810.0000000000009</v>
      </c>
      <c r="O17" s="279">
        <f t="shared" si="4"/>
        <v>7810.0000000000009</v>
      </c>
      <c r="P17" s="279">
        <f t="shared" ref="P17:Q20" si="7">O17</f>
        <v>7810.0000000000009</v>
      </c>
      <c r="Q17" s="1206">
        <f t="shared" si="7"/>
        <v>7810.0000000000009</v>
      </c>
      <c r="R17" s="1672"/>
    </row>
    <row r="18" spans="1:21" ht="15" customHeight="1">
      <c r="A18" s="127"/>
      <c r="B18" s="661" t="s">
        <v>829</v>
      </c>
      <c r="C18" s="123" t="s">
        <v>88</v>
      </c>
      <c r="D18" s="80"/>
      <c r="E18" s="279"/>
      <c r="F18" s="279"/>
      <c r="G18" s="279"/>
      <c r="H18" s="279">
        <v>5900</v>
      </c>
      <c r="I18" s="279">
        <v>5900</v>
      </c>
      <c r="J18" s="279">
        <f t="shared" ref="J18:J20" si="8">I18</f>
        <v>5900</v>
      </c>
      <c r="K18" s="279">
        <f t="shared" si="0"/>
        <v>5900</v>
      </c>
      <c r="L18" s="279">
        <f t="shared" si="1"/>
        <v>5900</v>
      </c>
      <c r="M18" s="279">
        <f t="shared" si="2"/>
        <v>6490.0000000000009</v>
      </c>
      <c r="N18" s="279">
        <f t="shared" si="3"/>
        <v>6490.0000000000009</v>
      </c>
      <c r="O18" s="279">
        <f t="shared" si="4"/>
        <v>6490.0000000000009</v>
      </c>
      <c r="P18" s="279">
        <f t="shared" si="7"/>
        <v>6490.0000000000009</v>
      </c>
      <c r="Q18" s="1206">
        <f t="shared" si="7"/>
        <v>6490.0000000000009</v>
      </c>
      <c r="R18" s="1672"/>
    </row>
    <row r="19" spans="1:21" ht="15" customHeight="1">
      <c r="A19" s="127"/>
      <c r="B19" s="661" t="s">
        <v>830</v>
      </c>
      <c r="C19" s="123" t="s">
        <v>88</v>
      </c>
      <c r="D19" s="80"/>
      <c r="E19" s="279"/>
      <c r="F19" s="279"/>
      <c r="G19" s="279"/>
      <c r="H19" s="279">
        <v>300</v>
      </c>
      <c r="I19" s="279">
        <v>300</v>
      </c>
      <c r="J19" s="279">
        <f t="shared" si="8"/>
        <v>300</v>
      </c>
      <c r="K19" s="279">
        <f t="shared" si="0"/>
        <v>300</v>
      </c>
      <c r="L19" s="279">
        <f t="shared" si="1"/>
        <v>300</v>
      </c>
      <c r="M19" s="279">
        <f t="shared" si="2"/>
        <v>330</v>
      </c>
      <c r="N19" s="279">
        <f t="shared" si="3"/>
        <v>330</v>
      </c>
      <c r="O19" s="279">
        <f t="shared" si="4"/>
        <v>330</v>
      </c>
      <c r="P19" s="279">
        <f t="shared" si="7"/>
        <v>330</v>
      </c>
      <c r="Q19" s="1206">
        <f t="shared" si="7"/>
        <v>330</v>
      </c>
      <c r="R19" s="1672"/>
    </row>
    <row r="20" spans="1:21" ht="25.15" customHeight="1">
      <c r="A20" s="127" t="s">
        <v>166</v>
      </c>
      <c r="B20" s="661" t="s">
        <v>831</v>
      </c>
      <c r="C20" s="123" t="s">
        <v>796</v>
      </c>
      <c r="D20" s="80"/>
      <c r="E20" s="279"/>
      <c r="F20" s="279"/>
      <c r="G20" s="279"/>
      <c r="H20" s="279">
        <v>10600</v>
      </c>
      <c r="I20" s="279">
        <v>10600</v>
      </c>
      <c r="J20" s="279">
        <f t="shared" si="8"/>
        <v>10600</v>
      </c>
      <c r="K20" s="279">
        <f t="shared" si="0"/>
        <v>10600</v>
      </c>
      <c r="L20" s="279">
        <f t="shared" si="1"/>
        <v>10600</v>
      </c>
      <c r="M20" s="279">
        <f t="shared" si="2"/>
        <v>11660.000000000002</v>
      </c>
      <c r="N20" s="279">
        <f t="shared" si="3"/>
        <v>11660.000000000002</v>
      </c>
      <c r="O20" s="279">
        <f t="shared" si="4"/>
        <v>11660.000000000002</v>
      </c>
      <c r="P20" s="279">
        <f t="shared" si="7"/>
        <v>11660.000000000002</v>
      </c>
      <c r="Q20" s="1206">
        <f t="shared" si="7"/>
        <v>11660.000000000002</v>
      </c>
      <c r="R20" s="1672"/>
    </row>
    <row r="21" spans="1:21" ht="15" customHeight="1">
      <c r="A21" s="656">
        <v>3</v>
      </c>
      <c r="B21" s="623" t="s">
        <v>832</v>
      </c>
      <c r="C21" s="627"/>
      <c r="D21" s="659"/>
      <c r="E21" s="660"/>
      <c r="F21" s="660"/>
      <c r="G21" s="660"/>
      <c r="H21" s="660"/>
      <c r="I21" s="660"/>
      <c r="J21" s="660"/>
      <c r="K21" s="660"/>
      <c r="L21" s="660"/>
      <c r="M21" s="660"/>
      <c r="N21" s="660"/>
      <c r="O21" s="660"/>
      <c r="P21" s="660"/>
      <c r="Q21" s="1243"/>
      <c r="R21" s="1672"/>
    </row>
    <row r="22" spans="1:21" ht="15" customHeight="1">
      <c r="A22" s="128" t="s">
        <v>186</v>
      </c>
      <c r="B22" s="661" t="s">
        <v>833</v>
      </c>
      <c r="C22" s="123" t="s">
        <v>294</v>
      </c>
      <c r="D22" s="80"/>
      <c r="E22" s="279"/>
      <c r="F22" s="279"/>
      <c r="G22" s="279"/>
      <c r="H22" s="279">
        <v>31</v>
      </c>
      <c r="I22" s="279">
        <v>31</v>
      </c>
      <c r="J22" s="279">
        <f>I22</f>
        <v>31</v>
      </c>
      <c r="K22" s="279">
        <f t="shared" si="0"/>
        <v>31</v>
      </c>
      <c r="L22" s="279">
        <f t="shared" si="1"/>
        <v>31</v>
      </c>
      <c r="M22" s="279">
        <f t="shared" si="2"/>
        <v>34.1</v>
      </c>
      <c r="N22" s="279">
        <f t="shared" si="3"/>
        <v>34.1</v>
      </c>
      <c r="O22" s="279">
        <f t="shared" si="4"/>
        <v>34.1</v>
      </c>
      <c r="P22" s="279">
        <f t="shared" ref="P22:Q25" si="9">O22</f>
        <v>34.1</v>
      </c>
      <c r="Q22" s="1206">
        <f t="shared" si="9"/>
        <v>34.1</v>
      </c>
      <c r="R22" s="1672"/>
    </row>
    <row r="23" spans="1:21">
      <c r="A23" s="128" t="s">
        <v>187</v>
      </c>
      <c r="B23" s="661" t="s">
        <v>834</v>
      </c>
      <c r="C23" s="123" t="s">
        <v>294</v>
      </c>
      <c r="D23" s="80"/>
      <c r="E23" s="279"/>
      <c r="F23" s="279"/>
      <c r="G23" s="279"/>
      <c r="H23" s="279">
        <v>24</v>
      </c>
      <c r="I23" s="279">
        <v>24</v>
      </c>
      <c r="J23" s="279">
        <f t="shared" ref="J23:J25" si="10">I23</f>
        <v>24</v>
      </c>
      <c r="K23" s="279">
        <f t="shared" si="0"/>
        <v>24</v>
      </c>
      <c r="L23" s="279">
        <f t="shared" si="1"/>
        <v>24</v>
      </c>
      <c r="M23" s="279">
        <f t="shared" si="2"/>
        <v>26.400000000000002</v>
      </c>
      <c r="N23" s="279">
        <f t="shared" si="3"/>
        <v>26.400000000000002</v>
      </c>
      <c r="O23" s="279">
        <f t="shared" si="4"/>
        <v>26.400000000000002</v>
      </c>
      <c r="P23" s="279">
        <f t="shared" si="9"/>
        <v>26.400000000000002</v>
      </c>
      <c r="Q23" s="1206">
        <f t="shared" si="9"/>
        <v>26.400000000000002</v>
      </c>
      <c r="R23" s="1672"/>
    </row>
    <row r="24" spans="1:21" ht="15" customHeight="1">
      <c r="A24" s="128" t="s">
        <v>835</v>
      </c>
      <c r="B24" s="661" t="s">
        <v>836</v>
      </c>
      <c r="C24" s="123" t="s">
        <v>294</v>
      </c>
      <c r="D24" s="80"/>
      <c r="E24" s="279"/>
      <c r="F24" s="279"/>
      <c r="G24" s="279"/>
      <c r="H24" s="279">
        <v>47</v>
      </c>
      <c r="I24" s="279">
        <v>47</v>
      </c>
      <c r="J24" s="279">
        <f t="shared" si="10"/>
        <v>47</v>
      </c>
      <c r="K24" s="279">
        <f t="shared" si="0"/>
        <v>47</v>
      </c>
      <c r="L24" s="279">
        <f t="shared" si="1"/>
        <v>47</v>
      </c>
      <c r="M24" s="279">
        <f t="shared" si="2"/>
        <v>51.7</v>
      </c>
      <c r="N24" s="279">
        <f t="shared" si="3"/>
        <v>51.7</v>
      </c>
      <c r="O24" s="279">
        <f t="shared" si="4"/>
        <v>51.7</v>
      </c>
      <c r="P24" s="279">
        <f t="shared" si="9"/>
        <v>51.7</v>
      </c>
      <c r="Q24" s="1206">
        <f t="shared" si="9"/>
        <v>51.7</v>
      </c>
      <c r="R24" s="1672"/>
    </row>
    <row r="25" spans="1:21" ht="15" customHeight="1">
      <c r="A25" s="128" t="s">
        <v>837</v>
      </c>
      <c r="B25" s="661" t="s">
        <v>838</v>
      </c>
      <c r="C25" s="123" t="s">
        <v>294</v>
      </c>
      <c r="D25" s="80"/>
      <c r="E25" s="279"/>
      <c r="F25" s="279"/>
      <c r="G25" s="279"/>
      <c r="H25" s="279">
        <v>26</v>
      </c>
      <c r="I25" s="279">
        <v>26</v>
      </c>
      <c r="J25" s="279">
        <f t="shared" si="10"/>
        <v>26</v>
      </c>
      <c r="K25" s="279">
        <f t="shared" si="0"/>
        <v>26</v>
      </c>
      <c r="L25" s="279">
        <f t="shared" si="1"/>
        <v>26</v>
      </c>
      <c r="M25" s="279">
        <f t="shared" si="2"/>
        <v>28.6</v>
      </c>
      <c r="N25" s="279">
        <f t="shared" si="3"/>
        <v>28.6</v>
      </c>
      <c r="O25" s="279">
        <f t="shared" si="4"/>
        <v>28.6</v>
      </c>
      <c r="P25" s="279">
        <f t="shared" si="9"/>
        <v>28.6</v>
      </c>
      <c r="Q25" s="1206">
        <f t="shared" si="9"/>
        <v>28.6</v>
      </c>
      <c r="R25" s="1673"/>
      <c r="S25" s="839">
        <v>38</v>
      </c>
      <c r="T25" s="839" t="s">
        <v>2744</v>
      </c>
      <c r="U25" s="839"/>
    </row>
    <row r="26" spans="1:21" ht="15" customHeight="1" thickBot="1">
      <c r="A26" s="129"/>
      <c r="B26" s="663"/>
      <c r="C26" s="179"/>
      <c r="D26" s="179"/>
      <c r="E26" s="664"/>
      <c r="F26" s="664"/>
      <c r="G26" s="664"/>
      <c r="H26" s="664"/>
      <c r="I26" s="664"/>
      <c r="J26" s="664"/>
      <c r="K26" s="665"/>
      <c r="L26" s="665"/>
      <c r="M26" s="665"/>
      <c r="N26" s="665"/>
      <c r="O26" s="665"/>
      <c r="P26" s="665"/>
      <c r="Q26" s="1207"/>
      <c r="R26" s="201"/>
    </row>
  </sheetData>
  <mergeCells count="2">
    <mergeCell ref="R14:R25"/>
    <mergeCell ref="A1:R1"/>
  </mergeCells>
  <printOptions horizontalCentered="1"/>
  <pageMargins left="1.24" right="0.19" top="1.03" bottom="0.73" header="0.5" footer="0.56999999999999995"/>
  <pageSetup paperSize="9" scale="84"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A1:N26"/>
  <sheetViews>
    <sheetView tabSelected="1" view="pageLayout" zoomScaleNormal="100" zoomScaleSheetLayoutView="145" workbookViewId="0">
      <selection activeCell="D24" sqref="D24"/>
    </sheetView>
  </sheetViews>
  <sheetFormatPr defaultColWidth="9.28515625" defaultRowHeight="15"/>
  <cols>
    <col min="1" max="1" width="5.85546875" style="60" customWidth="1"/>
    <col min="2" max="2" width="39.85546875" style="61" customWidth="1"/>
    <col min="3" max="3" width="8.5703125" style="60" customWidth="1"/>
    <col min="4" max="4" width="11.7109375" style="62" hidden="1" customWidth="1"/>
    <col min="5" max="8" width="13.42578125" style="62" hidden="1" customWidth="1"/>
    <col min="9" max="9" width="15.140625" style="62" hidden="1" customWidth="1"/>
    <col min="10" max="10" width="15.7109375" style="13" hidden="1" customWidth="1"/>
    <col min="11" max="11" width="16.140625" style="13" customWidth="1"/>
    <col min="12" max="13" width="15.5703125" style="13" customWidth="1"/>
    <col min="14" max="14" width="9.28515625" style="13"/>
    <col min="15" max="15" width="10.7109375" style="13" customWidth="1"/>
    <col min="16" max="16" width="9.7109375" style="13" bestFit="1" customWidth="1"/>
    <col min="17" max="16384" width="9.28515625" style="13"/>
  </cols>
  <sheetData>
    <row r="1" spans="1:14" ht="29.25" thickBot="1">
      <c r="A1" s="1606" t="s">
        <v>2186</v>
      </c>
      <c r="B1" s="1606"/>
      <c r="C1" s="1606"/>
      <c r="D1" s="1606"/>
      <c r="E1" s="1606"/>
      <c r="F1" s="1606"/>
      <c r="G1" s="1606"/>
      <c r="H1" s="1606"/>
      <c r="I1" s="1606"/>
      <c r="J1" s="1606"/>
      <c r="K1" s="1606"/>
      <c r="L1" s="1606"/>
      <c r="M1" s="1606"/>
      <c r="N1" s="1606"/>
    </row>
    <row r="2" spans="1:14" ht="52.9" customHeight="1">
      <c r="A2" s="481" t="s">
        <v>0</v>
      </c>
      <c r="B2" s="482" t="s">
        <v>51</v>
      </c>
      <c r="C2" s="482" t="s">
        <v>8</v>
      </c>
      <c r="D2" s="654" t="s">
        <v>1386</v>
      </c>
      <c r="E2" s="654" t="s">
        <v>1421</v>
      </c>
      <c r="F2" s="486" t="s">
        <v>1417</v>
      </c>
      <c r="G2" s="486" t="s">
        <v>1428</v>
      </c>
      <c r="H2" s="486" t="s">
        <v>1432</v>
      </c>
      <c r="I2" s="486" t="s">
        <v>1463</v>
      </c>
      <c r="J2" s="666" t="s">
        <v>2190</v>
      </c>
      <c r="K2" s="666" t="s">
        <v>2191</v>
      </c>
      <c r="L2" s="666" t="s">
        <v>2192</v>
      </c>
      <c r="M2" s="666" t="s">
        <v>2543</v>
      </c>
      <c r="N2" s="483" t="s">
        <v>9</v>
      </c>
    </row>
    <row r="3" spans="1:14">
      <c r="A3" s="41">
        <v>1</v>
      </c>
      <c r="B3" s="50" t="s">
        <v>839</v>
      </c>
      <c r="C3" s="25" t="s">
        <v>840</v>
      </c>
      <c r="D3" s="27">
        <v>31.5</v>
      </c>
      <c r="E3" s="27">
        <v>33</v>
      </c>
      <c r="F3" s="27">
        <f>E3</f>
        <v>33</v>
      </c>
      <c r="G3" s="27">
        <f>F3</f>
        <v>33</v>
      </c>
      <c r="H3" s="27">
        <f>G3</f>
        <v>33</v>
      </c>
      <c r="I3" s="27">
        <f>H3*1.1</f>
        <v>36.300000000000004</v>
      </c>
      <c r="J3" s="36">
        <f>I3</f>
        <v>36.300000000000004</v>
      </c>
      <c r="K3" s="36">
        <f>J3</f>
        <v>36.300000000000004</v>
      </c>
      <c r="L3" s="36">
        <f>K3</f>
        <v>36.300000000000004</v>
      </c>
      <c r="M3" s="213">
        <f>L3</f>
        <v>36.300000000000004</v>
      </c>
      <c r="N3" s="1122"/>
    </row>
    <row r="4" spans="1:14">
      <c r="A4" s="41">
        <v>2</v>
      </c>
      <c r="B4" s="50" t="s">
        <v>841</v>
      </c>
      <c r="C4" s="25" t="s">
        <v>334</v>
      </c>
      <c r="D4" s="27">
        <v>110.25</v>
      </c>
      <c r="E4" s="27">
        <v>116</v>
      </c>
      <c r="F4" s="27">
        <f t="shared" ref="F4:F22" si="0">E4</f>
        <v>116</v>
      </c>
      <c r="G4" s="27">
        <f t="shared" ref="G4:G22" si="1">F4</f>
        <v>116</v>
      </c>
      <c r="H4" s="27">
        <f t="shared" ref="H4:H22" si="2">G4</f>
        <v>116</v>
      </c>
      <c r="I4" s="27">
        <f t="shared" ref="I4:I22" si="3">H4*1.1</f>
        <v>127.60000000000001</v>
      </c>
      <c r="J4" s="36">
        <f t="shared" ref="J4:J13" si="4">I4</f>
        <v>127.60000000000001</v>
      </c>
      <c r="K4" s="36">
        <f t="shared" ref="K4:K22" si="5">J4</f>
        <v>127.60000000000001</v>
      </c>
      <c r="L4" s="36">
        <f t="shared" ref="L4:L22" si="6">K4</f>
        <v>127.60000000000001</v>
      </c>
      <c r="M4" s="213">
        <f t="shared" ref="M4:M22" si="7">L4</f>
        <v>127.60000000000001</v>
      </c>
      <c r="N4" s="194"/>
    </row>
    <row r="5" spans="1:14">
      <c r="A5" s="41">
        <v>3</v>
      </c>
      <c r="B5" s="50" t="s">
        <v>842</v>
      </c>
      <c r="C5" s="25" t="s">
        <v>334</v>
      </c>
      <c r="D5" s="27">
        <v>68.25</v>
      </c>
      <c r="E5" s="27">
        <v>72</v>
      </c>
      <c r="F5" s="27">
        <f t="shared" si="0"/>
        <v>72</v>
      </c>
      <c r="G5" s="27">
        <f t="shared" si="1"/>
        <v>72</v>
      </c>
      <c r="H5" s="27">
        <f t="shared" si="2"/>
        <v>72</v>
      </c>
      <c r="I5" s="27">
        <f t="shared" si="3"/>
        <v>79.2</v>
      </c>
      <c r="J5" s="36">
        <f t="shared" si="4"/>
        <v>79.2</v>
      </c>
      <c r="K5" s="36">
        <f t="shared" si="5"/>
        <v>79.2</v>
      </c>
      <c r="L5" s="36">
        <f t="shared" si="6"/>
        <v>79.2</v>
      </c>
      <c r="M5" s="213">
        <f t="shared" si="7"/>
        <v>79.2</v>
      </c>
      <c r="N5" s="194"/>
    </row>
    <row r="6" spans="1:14">
      <c r="A6" s="41">
        <v>4</v>
      </c>
      <c r="B6" s="50" t="s">
        <v>843</v>
      </c>
      <c r="C6" s="25" t="s">
        <v>334</v>
      </c>
      <c r="D6" s="27">
        <v>110.25</v>
      </c>
      <c r="E6" s="27">
        <v>116</v>
      </c>
      <c r="F6" s="27">
        <f t="shared" si="0"/>
        <v>116</v>
      </c>
      <c r="G6" s="27">
        <f t="shared" si="1"/>
        <v>116</v>
      </c>
      <c r="H6" s="27">
        <f t="shared" si="2"/>
        <v>116</v>
      </c>
      <c r="I6" s="27">
        <f t="shared" si="3"/>
        <v>127.60000000000001</v>
      </c>
      <c r="J6" s="36">
        <f t="shared" si="4"/>
        <v>127.60000000000001</v>
      </c>
      <c r="K6" s="36">
        <f t="shared" si="5"/>
        <v>127.60000000000001</v>
      </c>
      <c r="L6" s="36">
        <f t="shared" si="6"/>
        <v>127.60000000000001</v>
      </c>
      <c r="M6" s="213">
        <f t="shared" si="7"/>
        <v>127.60000000000001</v>
      </c>
      <c r="N6" s="194"/>
    </row>
    <row r="7" spans="1:14">
      <c r="A7" s="41">
        <v>5</v>
      </c>
      <c r="B7" s="50" t="s">
        <v>844</v>
      </c>
      <c r="C7" s="25" t="s">
        <v>190</v>
      </c>
      <c r="D7" s="27">
        <v>78.75</v>
      </c>
      <c r="E7" s="27">
        <v>83</v>
      </c>
      <c r="F7" s="27">
        <f t="shared" si="0"/>
        <v>83</v>
      </c>
      <c r="G7" s="27">
        <f t="shared" si="1"/>
        <v>83</v>
      </c>
      <c r="H7" s="27">
        <f t="shared" si="2"/>
        <v>83</v>
      </c>
      <c r="I7" s="27">
        <f t="shared" si="3"/>
        <v>91.300000000000011</v>
      </c>
      <c r="J7" s="36">
        <f t="shared" si="4"/>
        <v>91.300000000000011</v>
      </c>
      <c r="K7" s="36">
        <f t="shared" si="5"/>
        <v>91.300000000000011</v>
      </c>
      <c r="L7" s="36">
        <f t="shared" si="6"/>
        <v>91.300000000000011</v>
      </c>
      <c r="M7" s="213">
        <f t="shared" si="7"/>
        <v>91.300000000000011</v>
      </c>
      <c r="N7" s="194"/>
    </row>
    <row r="8" spans="1:14">
      <c r="A8" s="41">
        <v>6</v>
      </c>
      <c r="B8" s="71" t="s">
        <v>845</v>
      </c>
      <c r="C8" s="30"/>
      <c r="D8" s="27">
        <v>5.25</v>
      </c>
      <c r="E8" s="27">
        <v>6</v>
      </c>
      <c r="F8" s="27">
        <f t="shared" si="0"/>
        <v>6</v>
      </c>
      <c r="G8" s="27">
        <f t="shared" si="1"/>
        <v>6</v>
      </c>
      <c r="H8" s="27">
        <f t="shared" si="2"/>
        <v>6</v>
      </c>
      <c r="I8" s="27">
        <f t="shared" si="3"/>
        <v>6.6000000000000005</v>
      </c>
      <c r="J8" s="36">
        <f t="shared" si="4"/>
        <v>6.6000000000000005</v>
      </c>
      <c r="K8" s="36">
        <f t="shared" si="5"/>
        <v>6.6000000000000005</v>
      </c>
      <c r="L8" s="36">
        <f t="shared" si="6"/>
        <v>6.6000000000000005</v>
      </c>
      <c r="M8" s="213">
        <f t="shared" si="7"/>
        <v>6.6000000000000005</v>
      </c>
      <c r="N8" s="194"/>
    </row>
    <row r="9" spans="1:14" ht="60">
      <c r="A9" s="175" t="s">
        <v>21</v>
      </c>
      <c r="B9" s="144" t="s">
        <v>846</v>
      </c>
      <c r="C9" s="37" t="s">
        <v>88</v>
      </c>
      <c r="D9" s="27">
        <v>987</v>
      </c>
      <c r="E9" s="27">
        <v>1036</v>
      </c>
      <c r="F9" s="27">
        <f t="shared" si="0"/>
        <v>1036</v>
      </c>
      <c r="G9" s="27">
        <f t="shared" si="1"/>
        <v>1036</v>
      </c>
      <c r="H9" s="27">
        <f t="shared" si="2"/>
        <v>1036</v>
      </c>
      <c r="I9" s="27">
        <f t="shared" si="3"/>
        <v>1139.6000000000001</v>
      </c>
      <c r="J9" s="36">
        <f t="shared" si="4"/>
        <v>1139.6000000000001</v>
      </c>
      <c r="K9" s="143">
        <f t="shared" si="5"/>
        <v>1139.6000000000001</v>
      </c>
      <c r="L9" s="143">
        <f t="shared" si="6"/>
        <v>1139.6000000000001</v>
      </c>
      <c r="M9" s="1203">
        <f t="shared" si="7"/>
        <v>1139.6000000000001</v>
      </c>
      <c r="N9" s="194"/>
    </row>
    <row r="10" spans="1:14" ht="60">
      <c r="A10" s="175" t="s">
        <v>23</v>
      </c>
      <c r="B10" s="144" t="s">
        <v>847</v>
      </c>
      <c r="C10" s="37" t="s">
        <v>88</v>
      </c>
      <c r="D10" s="27">
        <v>1113</v>
      </c>
      <c r="E10" s="27">
        <v>1169</v>
      </c>
      <c r="F10" s="27">
        <f t="shared" si="0"/>
        <v>1169</v>
      </c>
      <c r="G10" s="27">
        <f t="shared" si="1"/>
        <v>1169</v>
      </c>
      <c r="H10" s="27">
        <f t="shared" si="2"/>
        <v>1169</v>
      </c>
      <c r="I10" s="27">
        <f t="shared" si="3"/>
        <v>1285.9000000000001</v>
      </c>
      <c r="J10" s="36">
        <f t="shared" si="4"/>
        <v>1285.9000000000001</v>
      </c>
      <c r="K10" s="143">
        <f t="shared" si="5"/>
        <v>1285.9000000000001</v>
      </c>
      <c r="L10" s="143">
        <f t="shared" si="6"/>
        <v>1285.9000000000001</v>
      </c>
      <c r="M10" s="1203">
        <f t="shared" si="7"/>
        <v>1285.9000000000001</v>
      </c>
      <c r="N10" s="194"/>
    </row>
    <row r="11" spans="1:14">
      <c r="A11" s="41">
        <v>7</v>
      </c>
      <c r="B11" s="71" t="s">
        <v>848</v>
      </c>
      <c r="C11" s="25" t="s">
        <v>88</v>
      </c>
      <c r="D11" s="27">
        <v>42</v>
      </c>
      <c r="E11" s="27">
        <v>44</v>
      </c>
      <c r="F11" s="27">
        <f t="shared" si="0"/>
        <v>44</v>
      </c>
      <c r="G11" s="27">
        <f t="shared" si="1"/>
        <v>44</v>
      </c>
      <c r="H11" s="27">
        <f t="shared" si="2"/>
        <v>44</v>
      </c>
      <c r="I11" s="27">
        <f t="shared" si="3"/>
        <v>48.400000000000006</v>
      </c>
      <c r="J11" s="36">
        <f t="shared" si="4"/>
        <v>48.400000000000006</v>
      </c>
      <c r="K11" s="36">
        <f t="shared" si="5"/>
        <v>48.400000000000006</v>
      </c>
      <c r="L11" s="36">
        <f t="shared" si="6"/>
        <v>48.400000000000006</v>
      </c>
      <c r="M11" s="213">
        <f t="shared" si="7"/>
        <v>48.400000000000006</v>
      </c>
      <c r="N11" s="194"/>
    </row>
    <row r="12" spans="1:14">
      <c r="A12" s="859" t="s">
        <v>21</v>
      </c>
      <c r="B12" s="71" t="s">
        <v>849</v>
      </c>
      <c r="C12" s="25" t="s">
        <v>88</v>
      </c>
      <c r="D12" s="27">
        <v>21</v>
      </c>
      <c r="E12" s="27">
        <v>22</v>
      </c>
      <c r="F12" s="27">
        <f t="shared" si="0"/>
        <v>22</v>
      </c>
      <c r="G12" s="27">
        <f t="shared" si="1"/>
        <v>22</v>
      </c>
      <c r="H12" s="27">
        <f t="shared" si="2"/>
        <v>22</v>
      </c>
      <c r="I12" s="27">
        <f t="shared" si="3"/>
        <v>24.200000000000003</v>
      </c>
      <c r="J12" s="36">
        <f t="shared" si="4"/>
        <v>24.200000000000003</v>
      </c>
      <c r="K12" s="36">
        <f t="shared" si="5"/>
        <v>24.200000000000003</v>
      </c>
      <c r="L12" s="36">
        <f t="shared" si="6"/>
        <v>24.200000000000003</v>
      </c>
      <c r="M12" s="213">
        <f t="shared" si="7"/>
        <v>24.200000000000003</v>
      </c>
      <c r="N12" s="194"/>
    </row>
    <row r="13" spans="1:14">
      <c r="A13" s="859" t="s">
        <v>23</v>
      </c>
      <c r="B13" s="71" t="s">
        <v>850</v>
      </c>
      <c r="C13" s="25" t="s">
        <v>88</v>
      </c>
      <c r="D13" s="27">
        <v>89.25</v>
      </c>
      <c r="E13" s="27">
        <v>94</v>
      </c>
      <c r="F13" s="27">
        <f t="shared" si="0"/>
        <v>94</v>
      </c>
      <c r="G13" s="27">
        <f t="shared" si="1"/>
        <v>94</v>
      </c>
      <c r="H13" s="27">
        <f t="shared" si="2"/>
        <v>94</v>
      </c>
      <c r="I13" s="27">
        <f t="shared" si="3"/>
        <v>103.4</v>
      </c>
      <c r="J13" s="36">
        <f t="shared" si="4"/>
        <v>103.4</v>
      </c>
      <c r="K13" s="36">
        <f t="shared" si="5"/>
        <v>103.4</v>
      </c>
      <c r="L13" s="36">
        <f t="shared" si="6"/>
        <v>103.4</v>
      </c>
      <c r="M13" s="213">
        <f t="shared" si="7"/>
        <v>103.4</v>
      </c>
      <c r="N13" s="194"/>
    </row>
    <row r="14" spans="1:14" ht="27">
      <c r="A14" s="189" t="s">
        <v>41</v>
      </c>
      <c r="B14" s="343" t="s">
        <v>1538</v>
      </c>
      <c r="C14" s="25" t="s">
        <v>88</v>
      </c>
      <c r="D14" s="27"/>
      <c r="E14" s="27"/>
      <c r="F14" s="27"/>
      <c r="G14" s="27"/>
      <c r="H14" s="27"/>
      <c r="I14" s="27"/>
      <c r="J14" s="36">
        <v>240</v>
      </c>
      <c r="K14" s="36">
        <f t="shared" si="5"/>
        <v>240</v>
      </c>
      <c r="L14" s="36">
        <f t="shared" si="6"/>
        <v>240</v>
      </c>
      <c r="M14" s="213">
        <f t="shared" si="7"/>
        <v>240</v>
      </c>
      <c r="N14" s="194"/>
    </row>
    <row r="15" spans="1:14">
      <c r="A15" s="41">
        <v>8</v>
      </c>
      <c r="B15" s="50" t="s">
        <v>851</v>
      </c>
      <c r="C15" s="25" t="s">
        <v>88</v>
      </c>
      <c r="D15" s="27">
        <v>42</v>
      </c>
      <c r="E15" s="27">
        <v>44</v>
      </c>
      <c r="F15" s="27">
        <f t="shared" si="0"/>
        <v>44</v>
      </c>
      <c r="G15" s="27">
        <f t="shared" si="1"/>
        <v>44</v>
      </c>
      <c r="H15" s="27">
        <f t="shared" si="2"/>
        <v>44</v>
      </c>
      <c r="I15" s="27">
        <f t="shared" si="3"/>
        <v>48.400000000000006</v>
      </c>
      <c r="J15" s="36">
        <f>I15</f>
        <v>48.400000000000006</v>
      </c>
      <c r="K15" s="36">
        <f t="shared" si="5"/>
        <v>48.400000000000006</v>
      </c>
      <c r="L15" s="36">
        <f t="shared" si="6"/>
        <v>48.400000000000006</v>
      </c>
      <c r="M15" s="213">
        <f t="shared" si="7"/>
        <v>48.400000000000006</v>
      </c>
      <c r="N15" s="194"/>
    </row>
    <row r="16" spans="1:14">
      <c r="A16" s="41">
        <v>9</v>
      </c>
      <c r="B16" s="50" t="s">
        <v>852</v>
      </c>
      <c r="C16" s="25" t="s">
        <v>853</v>
      </c>
      <c r="D16" s="27">
        <v>70.350000000000009</v>
      </c>
      <c r="E16" s="27">
        <v>74</v>
      </c>
      <c r="F16" s="27">
        <f t="shared" si="0"/>
        <v>74</v>
      </c>
      <c r="G16" s="27">
        <f t="shared" si="1"/>
        <v>74</v>
      </c>
      <c r="H16" s="27">
        <f t="shared" si="2"/>
        <v>74</v>
      </c>
      <c r="I16" s="27">
        <f t="shared" si="3"/>
        <v>81.400000000000006</v>
      </c>
      <c r="J16" s="36">
        <f t="shared" ref="J16:J22" si="8">I16</f>
        <v>81.400000000000006</v>
      </c>
      <c r="K16" s="36">
        <f t="shared" si="5"/>
        <v>81.400000000000006</v>
      </c>
      <c r="L16" s="36">
        <f t="shared" si="6"/>
        <v>81.400000000000006</v>
      </c>
      <c r="M16" s="213">
        <f t="shared" si="7"/>
        <v>81.400000000000006</v>
      </c>
      <c r="N16" s="194"/>
    </row>
    <row r="17" spans="1:14">
      <c r="A17" s="41">
        <v>10</v>
      </c>
      <c r="B17" s="50" t="s">
        <v>854</v>
      </c>
      <c r="C17" s="25" t="s">
        <v>88</v>
      </c>
      <c r="D17" s="27">
        <v>215.25</v>
      </c>
      <c r="E17" s="27">
        <v>226</v>
      </c>
      <c r="F17" s="27">
        <f t="shared" si="0"/>
        <v>226</v>
      </c>
      <c r="G17" s="27">
        <f t="shared" si="1"/>
        <v>226</v>
      </c>
      <c r="H17" s="27">
        <f t="shared" si="2"/>
        <v>226</v>
      </c>
      <c r="I17" s="27">
        <f t="shared" si="3"/>
        <v>248.60000000000002</v>
      </c>
      <c r="J17" s="36">
        <f t="shared" si="8"/>
        <v>248.60000000000002</v>
      </c>
      <c r="K17" s="36">
        <f t="shared" si="5"/>
        <v>248.60000000000002</v>
      </c>
      <c r="L17" s="36">
        <f t="shared" si="6"/>
        <v>248.60000000000002</v>
      </c>
      <c r="M17" s="213">
        <f t="shared" si="7"/>
        <v>248.60000000000002</v>
      </c>
      <c r="N17" s="194"/>
    </row>
    <row r="18" spans="1:14">
      <c r="A18" s="41">
        <v>11</v>
      </c>
      <c r="B18" s="50" t="s">
        <v>855</v>
      </c>
      <c r="C18" s="25" t="s">
        <v>88</v>
      </c>
      <c r="D18" s="27">
        <v>215.25</v>
      </c>
      <c r="E18" s="27">
        <v>226</v>
      </c>
      <c r="F18" s="27">
        <f t="shared" si="0"/>
        <v>226</v>
      </c>
      <c r="G18" s="27">
        <f t="shared" si="1"/>
        <v>226</v>
      </c>
      <c r="H18" s="27">
        <f t="shared" si="2"/>
        <v>226</v>
      </c>
      <c r="I18" s="27">
        <f t="shared" si="3"/>
        <v>248.60000000000002</v>
      </c>
      <c r="J18" s="36">
        <f t="shared" si="8"/>
        <v>248.60000000000002</v>
      </c>
      <c r="K18" s="36">
        <f t="shared" si="5"/>
        <v>248.60000000000002</v>
      </c>
      <c r="L18" s="36">
        <f t="shared" si="6"/>
        <v>248.60000000000002</v>
      </c>
      <c r="M18" s="213">
        <f t="shared" si="7"/>
        <v>248.60000000000002</v>
      </c>
      <c r="N18" s="194"/>
    </row>
    <row r="19" spans="1:14">
      <c r="A19" s="41">
        <v>12</v>
      </c>
      <c r="B19" s="50" t="s">
        <v>856</v>
      </c>
      <c r="C19" s="25" t="s">
        <v>88</v>
      </c>
      <c r="D19" s="27">
        <v>346.5</v>
      </c>
      <c r="E19" s="27">
        <v>364</v>
      </c>
      <c r="F19" s="27">
        <f t="shared" si="0"/>
        <v>364</v>
      </c>
      <c r="G19" s="27">
        <f t="shared" si="1"/>
        <v>364</v>
      </c>
      <c r="H19" s="27">
        <f t="shared" si="2"/>
        <v>364</v>
      </c>
      <c r="I19" s="27">
        <f t="shared" si="3"/>
        <v>400.40000000000003</v>
      </c>
      <c r="J19" s="36">
        <f t="shared" si="8"/>
        <v>400.40000000000003</v>
      </c>
      <c r="K19" s="36">
        <f t="shared" si="5"/>
        <v>400.40000000000003</v>
      </c>
      <c r="L19" s="36">
        <f t="shared" si="6"/>
        <v>400.40000000000003</v>
      </c>
      <c r="M19" s="213">
        <f t="shared" si="7"/>
        <v>400.40000000000003</v>
      </c>
      <c r="N19" s="194"/>
    </row>
    <row r="20" spans="1:14">
      <c r="A20" s="41">
        <v>13</v>
      </c>
      <c r="B20" s="50" t="s">
        <v>857</v>
      </c>
      <c r="C20" s="25" t="s">
        <v>88</v>
      </c>
      <c r="D20" s="27">
        <v>57.75</v>
      </c>
      <c r="E20" s="27">
        <v>61</v>
      </c>
      <c r="F20" s="27">
        <f t="shared" si="0"/>
        <v>61</v>
      </c>
      <c r="G20" s="27">
        <f t="shared" si="1"/>
        <v>61</v>
      </c>
      <c r="H20" s="27">
        <f t="shared" si="2"/>
        <v>61</v>
      </c>
      <c r="I20" s="27">
        <f t="shared" si="3"/>
        <v>67.100000000000009</v>
      </c>
      <c r="J20" s="36">
        <f t="shared" si="8"/>
        <v>67.100000000000009</v>
      </c>
      <c r="K20" s="36">
        <f t="shared" si="5"/>
        <v>67.100000000000009</v>
      </c>
      <c r="L20" s="36">
        <f t="shared" si="6"/>
        <v>67.100000000000009</v>
      </c>
      <c r="M20" s="213">
        <v>100</v>
      </c>
      <c r="N20" s="194"/>
    </row>
    <row r="21" spans="1:14">
      <c r="A21" s="41">
        <v>14</v>
      </c>
      <c r="B21" s="50" t="s">
        <v>858</v>
      </c>
      <c r="C21" s="25" t="s">
        <v>88</v>
      </c>
      <c r="D21" s="27">
        <v>42</v>
      </c>
      <c r="E21" s="27">
        <v>44</v>
      </c>
      <c r="F21" s="27">
        <f t="shared" si="0"/>
        <v>44</v>
      </c>
      <c r="G21" s="27">
        <f t="shared" si="1"/>
        <v>44</v>
      </c>
      <c r="H21" s="27">
        <f t="shared" si="2"/>
        <v>44</v>
      </c>
      <c r="I21" s="27">
        <f t="shared" si="3"/>
        <v>48.400000000000006</v>
      </c>
      <c r="J21" s="36">
        <f t="shared" si="8"/>
        <v>48.400000000000006</v>
      </c>
      <c r="K21" s="36">
        <f t="shared" si="5"/>
        <v>48.400000000000006</v>
      </c>
      <c r="L21" s="36">
        <f t="shared" si="6"/>
        <v>48.400000000000006</v>
      </c>
      <c r="M21" s="213">
        <f t="shared" si="7"/>
        <v>48.400000000000006</v>
      </c>
      <c r="N21" s="194"/>
    </row>
    <row r="22" spans="1:14" ht="15.75" thickBot="1">
      <c r="A22" s="1123">
        <v>15</v>
      </c>
      <c r="B22" s="1124" t="s">
        <v>859</v>
      </c>
      <c r="C22" s="73" t="s">
        <v>88</v>
      </c>
      <c r="D22" s="57">
        <v>57.75</v>
      </c>
      <c r="E22" s="57">
        <v>61</v>
      </c>
      <c r="F22" s="57">
        <f t="shared" si="0"/>
        <v>61</v>
      </c>
      <c r="G22" s="57">
        <f t="shared" si="1"/>
        <v>61</v>
      </c>
      <c r="H22" s="57">
        <f t="shared" si="2"/>
        <v>61</v>
      </c>
      <c r="I22" s="57">
        <f t="shared" si="3"/>
        <v>67.100000000000009</v>
      </c>
      <c r="J22" s="664">
        <f t="shared" si="8"/>
        <v>67.100000000000009</v>
      </c>
      <c r="K22" s="664">
        <f t="shared" si="5"/>
        <v>67.100000000000009</v>
      </c>
      <c r="L22" s="664">
        <f t="shared" si="6"/>
        <v>67.100000000000009</v>
      </c>
      <c r="M22" s="213">
        <f t="shared" si="7"/>
        <v>67.100000000000009</v>
      </c>
      <c r="N22" s="201"/>
    </row>
    <row r="23" spans="1:14" ht="17.25">
      <c r="A23" s="1117"/>
      <c r="B23" s="1118"/>
      <c r="C23" s="1119"/>
      <c r="D23" s="1120"/>
      <c r="E23" s="1120"/>
      <c r="F23" s="1120"/>
      <c r="G23" s="1120"/>
      <c r="H23" s="1120"/>
      <c r="I23" s="1120"/>
      <c r="J23" s="1119"/>
      <c r="K23" s="1120"/>
      <c r="L23" s="1120"/>
      <c r="M23" s="1120"/>
      <c r="N23" s="1121"/>
    </row>
    <row r="24" spans="1:14" ht="17.25">
      <c r="A24" s="133"/>
      <c r="B24" s="134"/>
      <c r="C24" s="135"/>
      <c r="D24" s="59"/>
      <c r="E24" s="59"/>
      <c r="F24" s="59"/>
      <c r="G24" s="59"/>
      <c r="H24" s="59"/>
      <c r="I24" s="59"/>
      <c r="J24" s="135"/>
      <c r="K24" s="135"/>
      <c r="L24" s="135"/>
      <c r="M24" s="135"/>
    </row>
    <row r="25" spans="1:14" ht="15" customHeight="1">
      <c r="A25" s="136"/>
      <c r="B25" s="137"/>
      <c r="C25" s="137"/>
      <c r="D25" s="137"/>
      <c r="E25" s="137"/>
      <c r="F25" s="137"/>
      <c r="G25" s="137"/>
      <c r="H25" s="137"/>
      <c r="I25" s="137"/>
      <c r="J25" s="137"/>
      <c r="K25" s="137"/>
      <c r="L25" s="137"/>
      <c r="M25" s="137"/>
    </row>
    <row r="26" spans="1:14" ht="39" customHeight="1">
      <c r="A26" s="133"/>
      <c r="B26" s="137"/>
      <c r="C26" s="137"/>
      <c r="D26" s="137"/>
      <c r="E26" s="137"/>
      <c r="F26" s="137"/>
      <c r="G26" s="137"/>
      <c r="H26" s="137"/>
      <c r="I26" s="137"/>
      <c r="J26" s="137"/>
      <c r="K26" s="137"/>
      <c r="L26" s="137"/>
      <c r="M26" s="137"/>
    </row>
  </sheetData>
  <mergeCells count="1">
    <mergeCell ref="A1:N1"/>
  </mergeCells>
  <printOptions horizontalCentered="1"/>
  <pageMargins left="1.24" right="0.19" top="1.03" bottom="0.73" header="0.5" footer="0.56999999999999995"/>
  <pageSetup paperSize="9" scale="78"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pageSetUpPr fitToPage="1"/>
  </sheetPr>
  <dimension ref="A1:R177"/>
  <sheetViews>
    <sheetView tabSelected="1" view="pageLayout" topLeftCell="A123" zoomScaleNormal="100" zoomScaleSheetLayoutView="145" workbookViewId="0">
      <selection activeCell="D24" sqref="D24"/>
    </sheetView>
  </sheetViews>
  <sheetFormatPr defaultColWidth="9.28515625" defaultRowHeight="15"/>
  <cols>
    <col min="1" max="1" width="6.28515625" style="60" customWidth="1"/>
    <col min="2" max="2" width="38.28515625" style="61" customWidth="1"/>
    <col min="3" max="3" width="11.28515625" style="60" customWidth="1"/>
    <col min="4" max="4" width="13.5703125" style="13" hidden="1" customWidth="1"/>
    <col min="5" max="5" width="13.28515625" style="13" hidden="1" customWidth="1"/>
    <col min="6" max="9" width="15.28515625" style="13" hidden="1" customWidth="1"/>
    <col min="10" max="10" width="13.5703125" style="13" hidden="1" customWidth="1"/>
    <col min="11" max="13" width="13.5703125" style="13" customWidth="1"/>
    <col min="14" max="16384" width="9.28515625" style="13"/>
  </cols>
  <sheetData>
    <row r="1" spans="1:18" ht="28.5" customHeight="1" thickBot="1">
      <c r="A1" s="1606" t="s">
        <v>2874</v>
      </c>
      <c r="B1" s="1606"/>
      <c r="C1" s="1606"/>
      <c r="D1" s="1606"/>
      <c r="E1" s="1606"/>
      <c r="F1" s="1606"/>
      <c r="G1" s="1606"/>
      <c r="H1" s="1606"/>
      <c r="I1" s="1606"/>
      <c r="J1" s="1606"/>
      <c r="K1" s="1606"/>
      <c r="L1" s="1606"/>
      <c r="M1" s="1606"/>
      <c r="N1" s="1606"/>
    </row>
    <row r="2" spans="1:18" ht="56.45" customHeight="1">
      <c r="A2" s="825" t="s">
        <v>0</v>
      </c>
      <c r="B2" s="482" t="s">
        <v>51</v>
      </c>
      <c r="C2" s="482" t="s">
        <v>8</v>
      </c>
      <c r="D2" s="1125" t="s">
        <v>1422</v>
      </c>
      <c r="E2" s="1125" t="s">
        <v>1423</v>
      </c>
      <c r="F2" s="486" t="s">
        <v>1417</v>
      </c>
      <c r="G2" s="486" t="s">
        <v>1428</v>
      </c>
      <c r="H2" s="486" t="s">
        <v>1432</v>
      </c>
      <c r="I2" s="486" t="s">
        <v>1464</v>
      </c>
      <c r="J2" s="487" t="s">
        <v>2190</v>
      </c>
      <c r="K2" s="487" t="s">
        <v>2191</v>
      </c>
      <c r="L2" s="487" t="s">
        <v>2192</v>
      </c>
      <c r="M2" s="487" t="s">
        <v>2543</v>
      </c>
      <c r="N2" s="1251" t="s">
        <v>9</v>
      </c>
      <c r="O2" s="310" t="s">
        <v>2576</v>
      </c>
      <c r="P2" s="310" t="s">
        <v>2184</v>
      </c>
      <c r="Q2" s="310" t="s">
        <v>2185</v>
      </c>
      <c r="R2" s="1675" t="s">
        <v>2615</v>
      </c>
    </row>
    <row r="3" spans="1:18" ht="21" customHeight="1">
      <c r="A3" s="1126" t="s">
        <v>814</v>
      </c>
      <c r="B3" s="1676" t="s">
        <v>860</v>
      </c>
      <c r="C3" s="1676"/>
      <c r="D3" s="1676"/>
      <c r="E3" s="1676"/>
      <c r="F3" s="1676"/>
      <c r="G3" s="1676"/>
      <c r="H3" s="1676"/>
      <c r="I3" s="1676"/>
      <c r="J3" s="1676"/>
      <c r="K3" s="285"/>
      <c r="L3" s="285"/>
      <c r="M3" s="1245"/>
      <c r="N3" s="1252"/>
      <c r="O3" s="191" t="s">
        <v>2574</v>
      </c>
      <c r="P3" s="698">
        <v>0.7</v>
      </c>
      <c r="Q3" s="698">
        <v>0.02</v>
      </c>
      <c r="R3" s="1675"/>
    </row>
    <row r="4" spans="1:18" ht="19.5">
      <c r="A4" s="1127"/>
      <c r="B4" s="138" t="s">
        <v>861</v>
      </c>
      <c r="C4" s="139"/>
      <c r="D4" s="140"/>
      <c r="E4" s="197"/>
      <c r="F4" s="197"/>
      <c r="G4" s="197"/>
      <c r="H4" s="197"/>
      <c r="I4" s="197"/>
      <c r="J4" s="198"/>
      <c r="K4" s="198"/>
      <c r="L4" s="198"/>
      <c r="M4" s="1246"/>
      <c r="N4" s="1252"/>
      <c r="O4" s="191" t="s">
        <v>2575</v>
      </c>
      <c r="P4" s="698">
        <v>0.7</v>
      </c>
      <c r="Q4" s="698">
        <v>0.05</v>
      </c>
      <c r="R4" s="1675"/>
    </row>
    <row r="5" spans="1:18">
      <c r="A5" s="1128" t="s">
        <v>2</v>
      </c>
      <c r="B5" s="114" t="s">
        <v>862</v>
      </c>
      <c r="C5" s="139"/>
      <c r="D5" s="140"/>
      <c r="E5" s="140"/>
      <c r="F5" s="140"/>
      <c r="G5" s="140"/>
      <c r="H5" s="140"/>
      <c r="I5" s="140"/>
      <c r="J5" s="199"/>
      <c r="K5" s="199"/>
      <c r="L5" s="199"/>
      <c r="M5" s="1247"/>
      <c r="N5" s="194"/>
    </row>
    <row r="6" spans="1:18">
      <c r="A6" s="1127"/>
      <c r="B6" s="24" t="s">
        <v>863</v>
      </c>
      <c r="C6" s="75" t="s">
        <v>864</v>
      </c>
      <c r="D6" s="193">
        <v>23</v>
      </c>
      <c r="E6" s="167">
        <v>23</v>
      </c>
      <c r="F6" s="167">
        <v>24</v>
      </c>
      <c r="G6" s="167">
        <f>F6</f>
        <v>24</v>
      </c>
      <c r="H6" s="167">
        <f>G6</f>
        <v>24</v>
      </c>
      <c r="I6" s="167">
        <f>H6*1.1</f>
        <v>26.400000000000002</v>
      </c>
      <c r="J6" s="167">
        <f>I6</f>
        <v>26.400000000000002</v>
      </c>
      <c r="K6" s="167">
        <f>ROUNDDOWN(J6*1.08,0)</f>
        <v>28</v>
      </c>
      <c r="L6" s="167">
        <f>K6*(100%+$P$3*$Q$3)</f>
        <v>28.391999999999999</v>
      </c>
      <c r="M6" s="167">
        <f>L6*(100%+$P$4*$Q$4)</f>
        <v>29.385719999999996</v>
      </c>
      <c r="N6" s="194"/>
      <c r="O6" s="155"/>
    </row>
    <row r="7" spans="1:18">
      <c r="A7" s="41"/>
      <c r="B7" s="24" t="s">
        <v>865</v>
      </c>
      <c r="C7" s="75" t="s">
        <v>864</v>
      </c>
      <c r="D7" s="193">
        <v>21</v>
      </c>
      <c r="E7" s="167">
        <v>21</v>
      </c>
      <c r="F7" s="167">
        <v>22</v>
      </c>
      <c r="G7" s="167">
        <f t="shared" ref="G7:G54" si="0">F7</f>
        <v>22</v>
      </c>
      <c r="H7" s="167">
        <f t="shared" ref="H7:H12" si="1">G7</f>
        <v>22</v>
      </c>
      <c r="I7" s="167">
        <f t="shared" ref="I7:I12" si="2">H7*1.1</f>
        <v>24.200000000000003</v>
      </c>
      <c r="J7" s="167">
        <f t="shared" ref="J7:J73" si="3">I7</f>
        <v>24.200000000000003</v>
      </c>
      <c r="K7" s="167">
        <f t="shared" ref="K7:K10" si="4">ROUNDDOWN(J7*1.08,0)</f>
        <v>26</v>
      </c>
      <c r="L7" s="167">
        <f t="shared" ref="L7:L12" si="5">K7*(100%+$P$3*$Q$3)</f>
        <v>26.364000000000001</v>
      </c>
      <c r="M7" s="167">
        <f t="shared" ref="M7:M30" si="6">L7*(100%+$P$4*$Q$4)</f>
        <v>27.286739999999998</v>
      </c>
      <c r="N7" s="194"/>
      <c r="O7" s="155"/>
    </row>
    <row r="8" spans="1:18">
      <c r="A8" s="41"/>
      <c r="B8" s="24" t="s">
        <v>866</v>
      </c>
      <c r="C8" s="75" t="s">
        <v>864</v>
      </c>
      <c r="D8" s="193">
        <v>19</v>
      </c>
      <c r="E8" s="167">
        <v>19</v>
      </c>
      <c r="F8" s="167">
        <v>20</v>
      </c>
      <c r="G8" s="167">
        <f t="shared" si="0"/>
        <v>20</v>
      </c>
      <c r="H8" s="167">
        <f t="shared" si="1"/>
        <v>20</v>
      </c>
      <c r="I8" s="167">
        <f t="shared" si="2"/>
        <v>22</v>
      </c>
      <c r="J8" s="167">
        <f t="shared" si="3"/>
        <v>22</v>
      </c>
      <c r="K8" s="167">
        <f t="shared" si="4"/>
        <v>23</v>
      </c>
      <c r="L8" s="167">
        <f t="shared" si="5"/>
        <v>23.321999999999999</v>
      </c>
      <c r="M8" s="167">
        <f t="shared" si="6"/>
        <v>24.138269999999999</v>
      </c>
      <c r="N8" s="194"/>
      <c r="O8" s="155"/>
    </row>
    <row r="9" spans="1:18">
      <c r="A9" s="41"/>
      <c r="B9" s="24" t="s">
        <v>867</v>
      </c>
      <c r="C9" s="75" t="s">
        <v>864</v>
      </c>
      <c r="D9" s="193">
        <v>5</v>
      </c>
      <c r="E9" s="167">
        <v>5</v>
      </c>
      <c r="F9" s="167">
        <v>6</v>
      </c>
      <c r="G9" s="167">
        <f t="shared" si="0"/>
        <v>6</v>
      </c>
      <c r="H9" s="167">
        <f t="shared" si="1"/>
        <v>6</v>
      </c>
      <c r="I9" s="167">
        <f t="shared" si="2"/>
        <v>6.6000000000000005</v>
      </c>
      <c r="J9" s="167">
        <f t="shared" si="3"/>
        <v>6.6000000000000005</v>
      </c>
      <c r="K9" s="167">
        <f t="shared" si="4"/>
        <v>7</v>
      </c>
      <c r="L9" s="167">
        <f t="shared" si="5"/>
        <v>7.0979999999999999</v>
      </c>
      <c r="M9" s="167">
        <f t="shared" si="6"/>
        <v>7.3464299999999989</v>
      </c>
      <c r="N9" s="194"/>
      <c r="O9" s="155"/>
    </row>
    <row r="10" spans="1:18" ht="36" customHeight="1">
      <c r="A10" s="41"/>
      <c r="B10" s="64" t="s">
        <v>868</v>
      </c>
      <c r="C10" s="75" t="s">
        <v>864</v>
      </c>
      <c r="D10" s="193">
        <v>3</v>
      </c>
      <c r="E10" s="167">
        <v>3</v>
      </c>
      <c r="F10" s="167">
        <v>3.5</v>
      </c>
      <c r="G10" s="167">
        <f t="shared" si="0"/>
        <v>3.5</v>
      </c>
      <c r="H10" s="167">
        <f t="shared" si="1"/>
        <v>3.5</v>
      </c>
      <c r="I10" s="167">
        <f t="shared" si="2"/>
        <v>3.8500000000000005</v>
      </c>
      <c r="J10" s="167">
        <f t="shared" si="3"/>
        <v>3.8500000000000005</v>
      </c>
      <c r="K10" s="167">
        <f t="shared" si="4"/>
        <v>4</v>
      </c>
      <c r="L10" s="167">
        <f t="shared" si="5"/>
        <v>4.056</v>
      </c>
      <c r="M10" s="167">
        <f t="shared" si="6"/>
        <v>4.1979600000000001</v>
      </c>
      <c r="N10" s="194"/>
      <c r="O10" s="155"/>
    </row>
    <row r="11" spans="1:18">
      <c r="A11" s="41"/>
      <c r="B11" s="24" t="s">
        <v>869</v>
      </c>
      <c r="C11" s="75" t="s">
        <v>864</v>
      </c>
      <c r="D11" s="193">
        <v>7</v>
      </c>
      <c r="E11" s="167">
        <v>7</v>
      </c>
      <c r="F11" s="167">
        <v>7.5</v>
      </c>
      <c r="G11" s="167">
        <f t="shared" si="0"/>
        <v>7.5</v>
      </c>
      <c r="H11" s="167">
        <f t="shared" si="1"/>
        <v>7.5</v>
      </c>
      <c r="I11" s="167">
        <f t="shared" si="2"/>
        <v>8.25</v>
      </c>
      <c r="J11" s="167">
        <f t="shared" si="3"/>
        <v>8.25</v>
      </c>
      <c r="K11" s="167">
        <f>ROUNDDOWN(J11*1.1,0)</f>
        <v>9</v>
      </c>
      <c r="L11" s="167">
        <f t="shared" si="5"/>
        <v>9.1259999999999994</v>
      </c>
      <c r="M11" s="167">
        <f t="shared" si="6"/>
        <v>9.445409999999999</v>
      </c>
      <c r="N11" s="194"/>
      <c r="O11" s="155"/>
    </row>
    <row r="12" spans="1:18">
      <c r="A12" s="41"/>
      <c r="B12" s="24" t="s">
        <v>870</v>
      </c>
      <c r="C12" s="75" t="s">
        <v>864</v>
      </c>
      <c r="D12" s="193">
        <v>7</v>
      </c>
      <c r="E12" s="167">
        <v>7</v>
      </c>
      <c r="F12" s="167">
        <v>7.5</v>
      </c>
      <c r="G12" s="167">
        <f t="shared" si="0"/>
        <v>7.5</v>
      </c>
      <c r="H12" s="167">
        <f t="shared" si="1"/>
        <v>7.5</v>
      </c>
      <c r="I12" s="167">
        <f t="shared" si="2"/>
        <v>8.25</v>
      </c>
      <c r="J12" s="167">
        <f t="shared" si="3"/>
        <v>8.25</v>
      </c>
      <c r="K12" s="167">
        <v>8.5</v>
      </c>
      <c r="L12" s="167">
        <f t="shared" si="5"/>
        <v>8.6189999999999998</v>
      </c>
      <c r="M12" s="167">
        <f t="shared" si="6"/>
        <v>8.9206649999999996</v>
      </c>
      <c r="N12" s="194"/>
      <c r="O12" s="155"/>
    </row>
    <row r="13" spans="1:18">
      <c r="A13" s="786" t="s">
        <v>3</v>
      </c>
      <c r="B13" s="692" t="s">
        <v>871</v>
      </c>
      <c r="C13" s="693"/>
      <c r="D13" s="694"/>
      <c r="E13" s="694"/>
      <c r="F13" s="694"/>
      <c r="G13" s="694"/>
      <c r="H13" s="694"/>
      <c r="I13" s="694"/>
      <c r="J13" s="694"/>
      <c r="K13" s="694"/>
      <c r="L13" s="694"/>
      <c r="M13" s="1249"/>
      <c r="N13" s="658"/>
      <c r="O13" s="155"/>
    </row>
    <row r="14" spans="1:18">
      <c r="A14" s="41"/>
      <c r="B14" s="24" t="s">
        <v>872</v>
      </c>
      <c r="C14" s="75" t="s">
        <v>864</v>
      </c>
      <c r="D14" s="139">
        <v>35</v>
      </c>
      <c r="E14" s="167">
        <v>35</v>
      </c>
      <c r="F14" s="167">
        <v>36</v>
      </c>
      <c r="G14" s="167">
        <f t="shared" si="0"/>
        <v>36</v>
      </c>
      <c r="H14" s="167">
        <f>G14</f>
        <v>36</v>
      </c>
      <c r="I14" s="167">
        <f>H14*1.1</f>
        <v>39.6</v>
      </c>
      <c r="J14" s="167">
        <f t="shared" si="3"/>
        <v>39.6</v>
      </c>
      <c r="K14" s="167">
        <f t="shared" ref="K14:K70" si="7">J14</f>
        <v>39.6</v>
      </c>
      <c r="L14" s="167">
        <f t="shared" ref="L14:L19" si="8">K14*(100%+$P$3*$Q$3)</f>
        <v>40.154400000000003</v>
      </c>
      <c r="M14" s="167">
        <f t="shared" si="6"/>
        <v>41.559804</v>
      </c>
      <c r="N14" s="194"/>
      <c r="O14" s="155"/>
    </row>
    <row r="15" spans="1:18">
      <c r="A15" s="41"/>
      <c r="B15" s="24" t="s">
        <v>873</v>
      </c>
      <c r="C15" s="75" t="s">
        <v>864</v>
      </c>
      <c r="D15" s="139">
        <v>40</v>
      </c>
      <c r="E15" s="167">
        <v>40</v>
      </c>
      <c r="F15" s="167">
        <v>41</v>
      </c>
      <c r="G15" s="167">
        <f t="shared" si="0"/>
        <v>41</v>
      </c>
      <c r="H15" s="167">
        <f t="shared" ref="H15:H54" si="9">G15</f>
        <v>41</v>
      </c>
      <c r="I15" s="167">
        <f t="shared" ref="I15:I54" si="10">H15*1.1</f>
        <v>45.1</v>
      </c>
      <c r="J15" s="167">
        <f t="shared" si="3"/>
        <v>45.1</v>
      </c>
      <c r="K15" s="167">
        <f t="shared" si="7"/>
        <v>45.1</v>
      </c>
      <c r="L15" s="167">
        <f t="shared" si="8"/>
        <v>45.731400000000001</v>
      </c>
      <c r="M15" s="167">
        <f t="shared" si="6"/>
        <v>47.331998999999996</v>
      </c>
      <c r="N15" s="194"/>
      <c r="O15" s="155"/>
    </row>
    <row r="16" spans="1:18">
      <c r="A16" s="41"/>
      <c r="B16" s="24" t="s">
        <v>874</v>
      </c>
      <c r="C16" s="75" t="s">
        <v>864</v>
      </c>
      <c r="D16" s="139">
        <v>42</v>
      </c>
      <c r="E16" s="167">
        <v>42</v>
      </c>
      <c r="F16" s="167">
        <v>43</v>
      </c>
      <c r="G16" s="167">
        <f t="shared" si="0"/>
        <v>43</v>
      </c>
      <c r="H16" s="167">
        <f t="shared" si="9"/>
        <v>43</v>
      </c>
      <c r="I16" s="167">
        <f t="shared" si="10"/>
        <v>47.300000000000004</v>
      </c>
      <c r="J16" s="167">
        <f t="shared" si="3"/>
        <v>47.300000000000004</v>
      </c>
      <c r="K16" s="167">
        <f t="shared" si="7"/>
        <v>47.300000000000004</v>
      </c>
      <c r="L16" s="167">
        <f t="shared" si="8"/>
        <v>47.962200000000003</v>
      </c>
      <c r="M16" s="167">
        <f t="shared" si="6"/>
        <v>49.640876999999996</v>
      </c>
      <c r="N16" s="194"/>
      <c r="O16" s="155"/>
    </row>
    <row r="17" spans="1:15">
      <c r="A17" s="41"/>
      <c r="B17" s="24" t="s">
        <v>875</v>
      </c>
      <c r="C17" s="75" t="s">
        <v>864</v>
      </c>
      <c r="D17" s="139">
        <v>44</v>
      </c>
      <c r="E17" s="167">
        <v>44</v>
      </c>
      <c r="F17" s="167">
        <v>45</v>
      </c>
      <c r="G17" s="167">
        <f t="shared" si="0"/>
        <v>45</v>
      </c>
      <c r="H17" s="167">
        <f t="shared" si="9"/>
        <v>45</v>
      </c>
      <c r="I17" s="167">
        <f t="shared" si="10"/>
        <v>49.500000000000007</v>
      </c>
      <c r="J17" s="167">
        <f t="shared" si="3"/>
        <v>49.500000000000007</v>
      </c>
      <c r="K17" s="167">
        <f t="shared" si="7"/>
        <v>49.500000000000007</v>
      </c>
      <c r="L17" s="167">
        <f t="shared" si="8"/>
        <v>50.193000000000005</v>
      </c>
      <c r="M17" s="167">
        <f t="shared" si="6"/>
        <v>51.949755000000003</v>
      </c>
      <c r="N17" s="194"/>
      <c r="O17" s="155"/>
    </row>
    <row r="18" spans="1:15">
      <c r="A18" s="41"/>
      <c r="B18" s="24" t="s">
        <v>876</v>
      </c>
      <c r="C18" s="75" t="s">
        <v>864</v>
      </c>
      <c r="D18" s="139">
        <v>46</v>
      </c>
      <c r="E18" s="167">
        <v>46</v>
      </c>
      <c r="F18" s="167">
        <v>47</v>
      </c>
      <c r="G18" s="167">
        <f t="shared" si="0"/>
        <v>47</v>
      </c>
      <c r="H18" s="167">
        <f t="shared" si="9"/>
        <v>47</v>
      </c>
      <c r="I18" s="167">
        <f t="shared" si="10"/>
        <v>51.7</v>
      </c>
      <c r="J18" s="167">
        <f t="shared" si="3"/>
        <v>51.7</v>
      </c>
      <c r="K18" s="167">
        <f t="shared" si="7"/>
        <v>51.7</v>
      </c>
      <c r="L18" s="167">
        <f t="shared" si="8"/>
        <v>52.423800000000007</v>
      </c>
      <c r="M18" s="167">
        <f t="shared" si="6"/>
        <v>54.258633000000003</v>
      </c>
      <c r="N18" s="194"/>
      <c r="O18" s="155"/>
    </row>
    <row r="19" spans="1:15">
      <c r="A19" s="41"/>
      <c r="B19" s="24" t="s">
        <v>877</v>
      </c>
      <c r="C19" s="75" t="s">
        <v>864</v>
      </c>
      <c r="D19" s="139">
        <v>48</v>
      </c>
      <c r="E19" s="167">
        <v>48</v>
      </c>
      <c r="F19" s="167">
        <v>49</v>
      </c>
      <c r="G19" s="167">
        <f t="shared" si="0"/>
        <v>49</v>
      </c>
      <c r="H19" s="167">
        <f t="shared" si="9"/>
        <v>49</v>
      </c>
      <c r="I19" s="167">
        <f t="shared" si="10"/>
        <v>53.900000000000006</v>
      </c>
      <c r="J19" s="167">
        <f t="shared" si="3"/>
        <v>53.900000000000006</v>
      </c>
      <c r="K19" s="167">
        <f t="shared" si="7"/>
        <v>53.900000000000006</v>
      </c>
      <c r="L19" s="167">
        <f t="shared" si="8"/>
        <v>54.654600000000009</v>
      </c>
      <c r="M19" s="167">
        <f t="shared" si="6"/>
        <v>56.567511000000003</v>
      </c>
      <c r="N19" s="194"/>
      <c r="O19" s="155"/>
    </row>
    <row r="20" spans="1:15">
      <c r="A20" s="786" t="s">
        <v>4</v>
      </c>
      <c r="B20" s="605" t="s">
        <v>878</v>
      </c>
      <c r="C20" s="693"/>
      <c r="D20" s="694"/>
      <c r="E20" s="694"/>
      <c r="F20" s="694"/>
      <c r="G20" s="694"/>
      <c r="H20" s="694"/>
      <c r="I20" s="694"/>
      <c r="J20" s="694"/>
      <c r="K20" s="694"/>
      <c r="L20" s="694"/>
      <c r="M20" s="1249"/>
      <c r="N20" s="658"/>
      <c r="O20" s="155"/>
    </row>
    <row r="21" spans="1:15">
      <c r="A21" s="41"/>
      <c r="B21" s="141" t="s">
        <v>879</v>
      </c>
      <c r="C21" s="75" t="s">
        <v>880</v>
      </c>
      <c r="D21" s="193">
        <v>3292</v>
      </c>
      <c r="E21" s="167">
        <v>3292</v>
      </c>
      <c r="F21" s="167">
        <v>3300</v>
      </c>
      <c r="G21" s="167">
        <f t="shared" si="0"/>
        <v>3300</v>
      </c>
      <c r="H21" s="167">
        <f t="shared" si="9"/>
        <v>3300</v>
      </c>
      <c r="I21" s="167">
        <f t="shared" si="10"/>
        <v>3630.0000000000005</v>
      </c>
      <c r="J21" s="167">
        <f t="shared" si="3"/>
        <v>3630.0000000000005</v>
      </c>
      <c r="K21" s="167">
        <f t="shared" si="7"/>
        <v>3630.0000000000005</v>
      </c>
      <c r="L21" s="167">
        <f>K21*(100%+$P$3*$Q$3)</f>
        <v>3680.8200000000006</v>
      </c>
      <c r="M21" s="167">
        <f t="shared" si="6"/>
        <v>3809.6487000000002</v>
      </c>
      <c r="N21" s="194"/>
      <c r="O21" s="155"/>
    </row>
    <row r="22" spans="1:15">
      <c r="A22" s="41"/>
      <c r="B22" s="141" t="s">
        <v>2362</v>
      </c>
      <c r="C22" s="75" t="s">
        <v>880</v>
      </c>
      <c r="D22" s="193">
        <v>1704</v>
      </c>
      <c r="E22" s="167">
        <v>1704</v>
      </c>
      <c r="F22" s="167">
        <v>1710</v>
      </c>
      <c r="G22" s="167">
        <f t="shared" si="0"/>
        <v>1710</v>
      </c>
      <c r="H22" s="167">
        <f t="shared" si="9"/>
        <v>1710</v>
      </c>
      <c r="I22" s="167">
        <f t="shared" si="10"/>
        <v>1881.0000000000002</v>
      </c>
      <c r="J22" s="167">
        <f t="shared" si="3"/>
        <v>1881.0000000000002</v>
      </c>
      <c r="K22" s="167">
        <f t="shared" si="7"/>
        <v>1881.0000000000002</v>
      </c>
      <c r="L22" s="167">
        <f t="shared" ref="L22:L25" si="11">K22*(100%+$P$3*$Q$3)</f>
        <v>1907.3340000000003</v>
      </c>
      <c r="M22" s="167">
        <f t="shared" si="6"/>
        <v>1974.0906900000002</v>
      </c>
      <c r="N22" s="194"/>
      <c r="O22" s="155"/>
    </row>
    <row r="23" spans="1:15">
      <c r="A23" s="41"/>
      <c r="B23" s="141" t="s">
        <v>881</v>
      </c>
      <c r="C23" s="75" t="s">
        <v>880</v>
      </c>
      <c r="D23" s="193">
        <v>1559</v>
      </c>
      <c r="E23" s="167">
        <v>1559</v>
      </c>
      <c r="F23" s="167">
        <v>1560</v>
      </c>
      <c r="G23" s="167">
        <f t="shared" si="0"/>
        <v>1560</v>
      </c>
      <c r="H23" s="167">
        <f t="shared" si="9"/>
        <v>1560</v>
      </c>
      <c r="I23" s="167">
        <f t="shared" si="10"/>
        <v>1716.0000000000002</v>
      </c>
      <c r="J23" s="167">
        <f t="shared" si="3"/>
        <v>1716.0000000000002</v>
      </c>
      <c r="K23" s="167">
        <f t="shared" si="7"/>
        <v>1716.0000000000002</v>
      </c>
      <c r="L23" s="167">
        <f t="shared" si="11"/>
        <v>1740.0240000000003</v>
      </c>
      <c r="M23" s="167">
        <f t="shared" si="6"/>
        <v>1800.9248400000001</v>
      </c>
      <c r="N23" s="194"/>
      <c r="O23" s="155"/>
    </row>
    <row r="24" spans="1:15">
      <c r="A24" s="41"/>
      <c r="B24" s="141" t="s">
        <v>882</v>
      </c>
      <c r="C24" s="75" t="s">
        <v>880</v>
      </c>
      <c r="D24" s="193">
        <v>364</v>
      </c>
      <c r="E24" s="167">
        <v>364</v>
      </c>
      <c r="F24" s="167">
        <v>365</v>
      </c>
      <c r="G24" s="167">
        <f t="shared" si="0"/>
        <v>365</v>
      </c>
      <c r="H24" s="167">
        <f t="shared" si="9"/>
        <v>365</v>
      </c>
      <c r="I24" s="167">
        <f t="shared" si="10"/>
        <v>401.50000000000006</v>
      </c>
      <c r="J24" s="167">
        <f t="shared" si="3"/>
        <v>401.50000000000006</v>
      </c>
      <c r="K24" s="167">
        <f t="shared" si="7"/>
        <v>401.50000000000006</v>
      </c>
      <c r="L24" s="167">
        <f t="shared" si="11"/>
        <v>407.12100000000004</v>
      </c>
      <c r="M24" s="167">
        <f t="shared" si="6"/>
        <v>421.37023499999998</v>
      </c>
      <c r="N24" s="194"/>
      <c r="O24" s="155"/>
    </row>
    <row r="25" spans="1:15">
      <c r="A25" s="41"/>
      <c r="B25" s="963" t="s">
        <v>883</v>
      </c>
      <c r="C25" s="75" t="s">
        <v>880</v>
      </c>
      <c r="D25" s="193">
        <v>1068</v>
      </c>
      <c r="E25" s="167">
        <v>1068</v>
      </c>
      <c r="F25" s="167">
        <v>1070</v>
      </c>
      <c r="G25" s="167">
        <f t="shared" si="0"/>
        <v>1070</v>
      </c>
      <c r="H25" s="167">
        <f t="shared" si="9"/>
        <v>1070</v>
      </c>
      <c r="I25" s="167">
        <f t="shared" si="10"/>
        <v>1177</v>
      </c>
      <c r="J25" s="167">
        <f t="shared" si="3"/>
        <v>1177</v>
      </c>
      <c r="K25" s="167">
        <f t="shared" si="7"/>
        <v>1177</v>
      </c>
      <c r="L25" s="167">
        <f t="shared" si="11"/>
        <v>1193.4780000000001</v>
      </c>
      <c r="M25" s="167">
        <f t="shared" si="6"/>
        <v>1235.24973</v>
      </c>
      <c r="N25" s="194"/>
      <c r="O25" s="155"/>
    </row>
    <row r="26" spans="1:15">
      <c r="A26" s="786" t="s">
        <v>5</v>
      </c>
      <c r="B26" s="605" t="s">
        <v>884</v>
      </c>
      <c r="C26" s="693"/>
      <c r="D26" s="694"/>
      <c r="E26" s="694"/>
      <c r="F26" s="694"/>
      <c r="G26" s="694"/>
      <c r="H26" s="694"/>
      <c r="I26" s="694"/>
      <c r="J26" s="694"/>
      <c r="K26" s="694"/>
      <c r="L26" s="694"/>
      <c r="M26" s="1249"/>
      <c r="N26" s="658"/>
      <c r="O26" s="155"/>
    </row>
    <row r="27" spans="1:15">
      <c r="A27" s="41"/>
      <c r="B27" s="24" t="s">
        <v>872</v>
      </c>
      <c r="C27" s="75" t="s">
        <v>880</v>
      </c>
      <c r="D27" s="139">
        <v>3407</v>
      </c>
      <c r="E27" s="167">
        <v>3407</v>
      </c>
      <c r="F27" s="167">
        <v>3410</v>
      </c>
      <c r="G27" s="167">
        <f t="shared" si="0"/>
        <v>3410</v>
      </c>
      <c r="H27" s="167">
        <f t="shared" si="9"/>
        <v>3410</v>
      </c>
      <c r="I27" s="167">
        <f t="shared" si="10"/>
        <v>3751.0000000000005</v>
      </c>
      <c r="J27" s="167">
        <f t="shared" si="3"/>
        <v>3751.0000000000005</v>
      </c>
      <c r="K27" s="167">
        <f t="shared" si="7"/>
        <v>3751.0000000000005</v>
      </c>
      <c r="L27" s="167">
        <f t="shared" ref="L27:L31" si="12">K27*(100%+$P$3*$Q$3)</f>
        <v>3803.5140000000006</v>
      </c>
      <c r="M27" s="167">
        <f t="shared" si="6"/>
        <v>3936.6369900000004</v>
      </c>
      <c r="N27" s="194"/>
      <c r="O27" s="155"/>
    </row>
    <row r="28" spans="1:15">
      <c r="A28" s="41"/>
      <c r="B28" s="24" t="s">
        <v>873</v>
      </c>
      <c r="C28" s="75" t="s">
        <v>880</v>
      </c>
      <c r="D28" s="139">
        <v>3581</v>
      </c>
      <c r="E28" s="167">
        <v>3581</v>
      </c>
      <c r="F28" s="167">
        <v>3590</v>
      </c>
      <c r="G28" s="167">
        <f t="shared" si="0"/>
        <v>3590</v>
      </c>
      <c r="H28" s="167">
        <f t="shared" si="9"/>
        <v>3590</v>
      </c>
      <c r="I28" s="167">
        <f t="shared" si="10"/>
        <v>3949.0000000000005</v>
      </c>
      <c r="J28" s="167">
        <f t="shared" si="3"/>
        <v>3949.0000000000005</v>
      </c>
      <c r="K28" s="167">
        <f t="shared" si="7"/>
        <v>3949.0000000000005</v>
      </c>
      <c r="L28" s="167">
        <f t="shared" si="12"/>
        <v>4004.2860000000005</v>
      </c>
      <c r="M28" s="167">
        <f t="shared" si="6"/>
        <v>4144.4360100000004</v>
      </c>
      <c r="N28" s="194"/>
      <c r="O28" s="155"/>
    </row>
    <row r="29" spans="1:15">
      <c r="A29" s="41"/>
      <c r="B29" s="24" t="s">
        <v>874</v>
      </c>
      <c r="C29" s="75" t="s">
        <v>880</v>
      </c>
      <c r="D29" s="139">
        <v>3725</v>
      </c>
      <c r="E29" s="167">
        <v>3725</v>
      </c>
      <c r="F29" s="167">
        <v>3730</v>
      </c>
      <c r="G29" s="167">
        <f t="shared" si="0"/>
        <v>3730</v>
      </c>
      <c r="H29" s="167">
        <f t="shared" si="9"/>
        <v>3730</v>
      </c>
      <c r="I29" s="167">
        <f t="shared" si="10"/>
        <v>4103</v>
      </c>
      <c r="J29" s="167">
        <f t="shared" si="3"/>
        <v>4103</v>
      </c>
      <c r="K29" s="167">
        <f t="shared" si="7"/>
        <v>4103</v>
      </c>
      <c r="L29" s="167">
        <f t="shared" si="12"/>
        <v>4160.442</v>
      </c>
      <c r="M29" s="167">
        <f t="shared" si="6"/>
        <v>4306.0574699999997</v>
      </c>
      <c r="N29" s="194"/>
      <c r="O29" s="155"/>
    </row>
    <row r="30" spans="1:15">
      <c r="A30" s="41"/>
      <c r="B30" s="24" t="s">
        <v>875</v>
      </c>
      <c r="C30" s="75" t="s">
        <v>880</v>
      </c>
      <c r="D30" s="139">
        <v>3829</v>
      </c>
      <c r="E30" s="167">
        <v>3829</v>
      </c>
      <c r="F30" s="167">
        <v>3830</v>
      </c>
      <c r="G30" s="167">
        <f t="shared" si="0"/>
        <v>3830</v>
      </c>
      <c r="H30" s="167">
        <f t="shared" si="9"/>
        <v>3830</v>
      </c>
      <c r="I30" s="167">
        <f t="shared" si="10"/>
        <v>4213</v>
      </c>
      <c r="J30" s="167">
        <f t="shared" si="3"/>
        <v>4213</v>
      </c>
      <c r="K30" s="167">
        <f t="shared" si="7"/>
        <v>4213</v>
      </c>
      <c r="L30" s="167">
        <f t="shared" si="12"/>
        <v>4271.982</v>
      </c>
      <c r="M30" s="167">
        <f t="shared" si="6"/>
        <v>4421.50137</v>
      </c>
      <c r="N30" s="194"/>
      <c r="O30" s="155"/>
    </row>
    <row r="31" spans="1:15">
      <c r="A31" s="41"/>
      <c r="B31" s="24" t="s">
        <v>885</v>
      </c>
      <c r="C31" s="75" t="s">
        <v>880</v>
      </c>
      <c r="D31" s="139">
        <v>3985</v>
      </c>
      <c r="E31" s="167">
        <v>3985</v>
      </c>
      <c r="F31" s="167">
        <f t="shared" ref="F31:F32" si="13">E31</f>
        <v>3985</v>
      </c>
      <c r="G31" s="167">
        <f t="shared" si="0"/>
        <v>3985</v>
      </c>
      <c r="H31" s="167">
        <f t="shared" si="9"/>
        <v>3985</v>
      </c>
      <c r="I31" s="167">
        <f t="shared" si="10"/>
        <v>4383.5</v>
      </c>
      <c r="J31" s="167">
        <f t="shared" si="3"/>
        <v>4383.5</v>
      </c>
      <c r="K31" s="167">
        <f t="shared" si="7"/>
        <v>4383.5</v>
      </c>
      <c r="L31" s="167">
        <f t="shared" si="12"/>
        <v>4444.8689999999997</v>
      </c>
      <c r="M31" s="167">
        <f>L31*(100%+$P$4*$Q$4)</f>
        <v>4600.4394149999989</v>
      </c>
      <c r="N31" s="194"/>
      <c r="O31" s="155"/>
    </row>
    <row r="32" spans="1:15">
      <c r="A32" s="786" t="s">
        <v>6</v>
      </c>
      <c r="B32" s="605" t="s">
        <v>886</v>
      </c>
      <c r="C32" s="693" t="s">
        <v>887</v>
      </c>
      <c r="D32" s="694">
        <v>21</v>
      </c>
      <c r="E32" s="694">
        <v>21</v>
      </c>
      <c r="F32" s="694">
        <f t="shared" si="13"/>
        <v>21</v>
      </c>
      <c r="G32" s="694">
        <f t="shared" si="0"/>
        <v>21</v>
      </c>
      <c r="H32" s="694">
        <f t="shared" si="9"/>
        <v>21</v>
      </c>
      <c r="I32" s="694">
        <f t="shared" si="10"/>
        <v>23.1</v>
      </c>
      <c r="J32" s="694">
        <f t="shared" si="3"/>
        <v>23.1</v>
      </c>
      <c r="K32" s="694">
        <f t="shared" si="7"/>
        <v>23.1</v>
      </c>
      <c r="L32" s="694"/>
      <c r="M32" s="1249"/>
      <c r="N32" s="658"/>
      <c r="O32" s="155"/>
    </row>
    <row r="33" spans="1:16" ht="17.25">
      <c r="A33" s="1129">
        <v>6</v>
      </c>
      <c r="B33" s="605" t="s">
        <v>888</v>
      </c>
      <c r="C33" s="693"/>
      <c r="D33" s="694"/>
      <c r="E33" s="694"/>
      <c r="F33" s="694"/>
      <c r="G33" s="694"/>
      <c r="H33" s="694"/>
      <c r="I33" s="694"/>
      <c r="J33" s="694"/>
      <c r="K33" s="694"/>
      <c r="L33" s="694"/>
      <c r="M33" s="1249"/>
      <c r="N33" s="658"/>
      <c r="O33" s="155"/>
    </row>
    <row r="34" spans="1:16" ht="17.25">
      <c r="A34" s="1130"/>
      <c r="B34" s="142" t="s">
        <v>889</v>
      </c>
      <c r="C34" s="75"/>
      <c r="D34" s="193"/>
      <c r="E34" s="167"/>
      <c r="F34" s="167"/>
      <c r="G34" s="167"/>
      <c r="H34" s="167"/>
      <c r="I34" s="167"/>
      <c r="J34" s="167"/>
      <c r="K34" s="167"/>
      <c r="L34" s="167"/>
      <c r="M34" s="1248"/>
      <c r="N34" s="194"/>
      <c r="O34" s="155"/>
    </row>
    <row r="35" spans="1:16">
      <c r="A35" s="1131" t="s">
        <v>814</v>
      </c>
      <c r="B35" s="35" t="s">
        <v>890</v>
      </c>
      <c r="C35" s="166" t="s">
        <v>864</v>
      </c>
      <c r="D35" s="167">
        <v>71.5</v>
      </c>
      <c r="E35" s="167">
        <v>71.5</v>
      </c>
      <c r="F35" s="167">
        <v>72</v>
      </c>
      <c r="G35" s="167">
        <f t="shared" si="0"/>
        <v>72</v>
      </c>
      <c r="H35" s="167">
        <f t="shared" si="9"/>
        <v>72</v>
      </c>
      <c r="I35" s="167">
        <f t="shared" si="10"/>
        <v>79.2</v>
      </c>
      <c r="J35" s="167">
        <f t="shared" si="3"/>
        <v>79.2</v>
      </c>
      <c r="K35" s="167">
        <f t="shared" si="7"/>
        <v>79.2</v>
      </c>
      <c r="L35" s="167">
        <f t="shared" ref="L35:L44" si="14">K35*(100%+$P$3*$Q$3)</f>
        <v>80.308800000000005</v>
      </c>
      <c r="M35" s="167">
        <f t="shared" ref="M35:M54" si="15">L35*(100%+$P$4*$Q$4)</f>
        <v>83.119607999999999</v>
      </c>
      <c r="N35" s="194"/>
      <c r="O35" s="196"/>
      <c r="P35" s="34"/>
    </row>
    <row r="36" spans="1:16">
      <c r="A36" s="1131" t="s">
        <v>891</v>
      </c>
      <c r="B36" s="35" t="s">
        <v>892</v>
      </c>
      <c r="C36" s="166" t="s">
        <v>893</v>
      </c>
      <c r="D36" s="167">
        <v>99</v>
      </c>
      <c r="E36" s="167">
        <v>99</v>
      </c>
      <c r="F36" s="167">
        <v>100</v>
      </c>
      <c r="G36" s="167">
        <f t="shared" si="0"/>
        <v>100</v>
      </c>
      <c r="H36" s="167">
        <f>G36</f>
        <v>100</v>
      </c>
      <c r="I36" s="167">
        <f t="shared" si="10"/>
        <v>110.00000000000001</v>
      </c>
      <c r="J36" s="167">
        <f t="shared" si="3"/>
        <v>110.00000000000001</v>
      </c>
      <c r="K36" s="167">
        <f t="shared" si="7"/>
        <v>110.00000000000001</v>
      </c>
      <c r="L36" s="167">
        <f t="shared" si="14"/>
        <v>111.54000000000002</v>
      </c>
      <c r="M36" s="167">
        <f t="shared" si="15"/>
        <v>115.44390000000001</v>
      </c>
      <c r="N36" s="194"/>
      <c r="O36" s="196"/>
      <c r="P36" s="34"/>
    </row>
    <row r="37" spans="1:16">
      <c r="A37" s="1131" t="s">
        <v>894</v>
      </c>
      <c r="B37" s="35" t="s">
        <v>895</v>
      </c>
      <c r="C37" s="166" t="s">
        <v>864</v>
      </c>
      <c r="D37" s="167">
        <v>19.41</v>
      </c>
      <c r="E37" s="167">
        <v>19.5</v>
      </c>
      <c r="F37" s="167">
        <f>E37</f>
        <v>19.5</v>
      </c>
      <c r="G37" s="167">
        <f t="shared" si="0"/>
        <v>19.5</v>
      </c>
      <c r="H37" s="167">
        <f t="shared" si="9"/>
        <v>19.5</v>
      </c>
      <c r="I37" s="167">
        <f t="shared" si="10"/>
        <v>21.450000000000003</v>
      </c>
      <c r="J37" s="167">
        <f t="shared" si="3"/>
        <v>21.450000000000003</v>
      </c>
      <c r="K37" s="167">
        <f t="shared" si="7"/>
        <v>21.450000000000003</v>
      </c>
      <c r="L37" s="167">
        <f t="shared" si="14"/>
        <v>21.750300000000003</v>
      </c>
      <c r="M37" s="167">
        <f t="shared" si="15"/>
        <v>22.511560500000002</v>
      </c>
      <c r="N37" s="194"/>
      <c r="O37" s="196"/>
      <c r="P37" s="34"/>
    </row>
    <row r="38" spans="1:16">
      <c r="A38" s="1131" t="s">
        <v>896</v>
      </c>
      <c r="B38" s="35" t="s">
        <v>897</v>
      </c>
      <c r="C38" s="166" t="s">
        <v>864</v>
      </c>
      <c r="D38" s="167">
        <v>7.76</v>
      </c>
      <c r="E38" s="167">
        <v>7.76</v>
      </c>
      <c r="F38" s="167">
        <v>7.8</v>
      </c>
      <c r="G38" s="167">
        <f t="shared" si="0"/>
        <v>7.8</v>
      </c>
      <c r="H38" s="167">
        <f t="shared" si="9"/>
        <v>7.8</v>
      </c>
      <c r="I38" s="167">
        <f t="shared" si="10"/>
        <v>8.58</v>
      </c>
      <c r="J38" s="167">
        <f t="shared" si="3"/>
        <v>8.58</v>
      </c>
      <c r="K38" s="167">
        <f t="shared" si="7"/>
        <v>8.58</v>
      </c>
      <c r="L38" s="167">
        <f t="shared" si="14"/>
        <v>8.7001200000000001</v>
      </c>
      <c r="M38" s="167">
        <f t="shared" si="15"/>
        <v>9.0046241999999985</v>
      </c>
      <c r="N38" s="194"/>
      <c r="O38" s="196"/>
      <c r="P38" s="34"/>
    </row>
    <row r="39" spans="1:16">
      <c r="A39" s="1131" t="s">
        <v>898</v>
      </c>
      <c r="B39" s="35" t="s">
        <v>899</v>
      </c>
      <c r="C39" s="166" t="s">
        <v>893</v>
      </c>
      <c r="D39" s="167">
        <v>26.4</v>
      </c>
      <c r="E39" s="167">
        <v>26.4</v>
      </c>
      <c r="F39" s="167">
        <v>26.5</v>
      </c>
      <c r="G39" s="167">
        <f t="shared" si="0"/>
        <v>26.5</v>
      </c>
      <c r="H39" s="167">
        <f t="shared" si="9"/>
        <v>26.5</v>
      </c>
      <c r="I39" s="167">
        <f t="shared" si="10"/>
        <v>29.150000000000002</v>
      </c>
      <c r="J39" s="167">
        <f t="shared" si="3"/>
        <v>29.150000000000002</v>
      </c>
      <c r="K39" s="167">
        <f t="shared" si="7"/>
        <v>29.150000000000002</v>
      </c>
      <c r="L39" s="167">
        <f t="shared" si="14"/>
        <v>29.558100000000003</v>
      </c>
      <c r="M39" s="167">
        <f t="shared" si="15"/>
        <v>30.592633500000002</v>
      </c>
      <c r="N39" s="194"/>
      <c r="O39" s="196"/>
      <c r="P39" s="34"/>
    </row>
    <row r="40" spans="1:16">
      <c r="A40" s="1131" t="s">
        <v>900</v>
      </c>
      <c r="B40" s="35" t="s">
        <v>901</v>
      </c>
      <c r="C40" s="166" t="s">
        <v>893</v>
      </c>
      <c r="D40" s="167">
        <v>9.35</v>
      </c>
      <c r="E40" s="167">
        <v>9.35</v>
      </c>
      <c r="F40" s="167">
        <v>9.5</v>
      </c>
      <c r="G40" s="167">
        <f>F40</f>
        <v>9.5</v>
      </c>
      <c r="H40" s="167">
        <f t="shared" si="9"/>
        <v>9.5</v>
      </c>
      <c r="I40" s="167">
        <f t="shared" si="10"/>
        <v>10.450000000000001</v>
      </c>
      <c r="J40" s="167">
        <f t="shared" si="3"/>
        <v>10.450000000000001</v>
      </c>
      <c r="K40" s="167">
        <f t="shared" si="7"/>
        <v>10.450000000000001</v>
      </c>
      <c r="L40" s="167">
        <f t="shared" si="14"/>
        <v>10.596300000000001</v>
      </c>
      <c r="M40" s="167">
        <f t="shared" si="15"/>
        <v>10.9671705</v>
      </c>
      <c r="N40" s="194"/>
      <c r="O40" s="196"/>
      <c r="P40" s="34"/>
    </row>
    <row r="41" spans="1:16">
      <c r="A41" s="1131" t="s">
        <v>902</v>
      </c>
      <c r="B41" s="35" t="s">
        <v>2359</v>
      </c>
      <c r="C41" s="166" t="s">
        <v>864</v>
      </c>
      <c r="D41" s="167">
        <v>6.6</v>
      </c>
      <c r="E41" s="167">
        <v>6.6</v>
      </c>
      <c r="F41" s="167">
        <f t="shared" ref="F41:F54" si="16">E41</f>
        <v>6.6</v>
      </c>
      <c r="G41" s="167">
        <f t="shared" si="0"/>
        <v>6.6</v>
      </c>
      <c r="H41" s="167">
        <f t="shared" si="9"/>
        <v>6.6</v>
      </c>
      <c r="I41" s="167">
        <f t="shared" si="10"/>
        <v>7.26</v>
      </c>
      <c r="J41" s="167">
        <f t="shared" si="3"/>
        <v>7.26</v>
      </c>
      <c r="K41" s="167">
        <f t="shared" si="7"/>
        <v>7.26</v>
      </c>
      <c r="L41" s="167">
        <f t="shared" si="14"/>
        <v>7.3616399999999995</v>
      </c>
      <c r="M41" s="167">
        <f t="shared" si="15"/>
        <v>7.6192973999999989</v>
      </c>
      <c r="N41" s="194"/>
      <c r="O41" s="196"/>
      <c r="P41" s="34"/>
    </row>
    <row r="42" spans="1:16" ht="33" customHeight="1">
      <c r="A42" s="1131" t="s">
        <v>903</v>
      </c>
      <c r="B42" s="81" t="s">
        <v>904</v>
      </c>
      <c r="C42" s="166" t="s">
        <v>864</v>
      </c>
      <c r="D42" s="167">
        <v>7.76</v>
      </c>
      <c r="E42" s="167">
        <v>7.76</v>
      </c>
      <c r="F42" s="167">
        <v>7.8</v>
      </c>
      <c r="G42" s="167">
        <f t="shared" si="0"/>
        <v>7.8</v>
      </c>
      <c r="H42" s="167">
        <f t="shared" si="9"/>
        <v>7.8</v>
      </c>
      <c r="I42" s="167">
        <f t="shared" si="10"/>
        <v>8.58</v>
      </c>
      <c r="J42" s="167">
        <f t="shared" si="3"/>
        <v>8.58</v>
      </c>
      <c r="K42" s="167">
        <f t="shared" si="7"/>
        <v>8.58</v>
      </c>
      <c r="L42" s="167">
        <f t="shared" si="14"/>
        <v>8.7001200000000001</v>
      </c>
      <c r="M42" s="167">
        <f t="shared" si="15"/>
        <v>9.0046241999999985</v>
      </c>
      <c r="N42" s="194"/>
      <c r="O42" s="196"/>
      <c r="P42" s="34"/>
    </row>
    <row r="43" spans="1:16">
      <c r="A43" s="1131" t="s">
        <v>905</v>
      </c>
      <c r="B43" s="35" t="s">
        <v>2360</v>
      </c>
      <c r="C43" s="166" t="s">
        <v>864</v>
      </c>
      <c r="D43" s="167">
        <v>33</v>
      </c>
      <c r="E43" s="167">
        <v>33</v>
      </c>
      <c r="F43" s="167">
        <f t="shared" si="16"/>
        <v>33</v>
      </c>
      <c r="G43" s="167">
        <f t="shared" si="0"/>
        <v>33</v>
      </c>
      <c r="H43" s="167">
        <f t="shared" si="9"/>
        <v>33</v>
      </c>
      <c r="I43" s="167">
        <f t="shared" si="10"/>
        <v>36.300000000000004</v>
      </c>
      <c r="J43" s="167">
        <f t="shared" si="3"/>
        <v>36.300000000000004</v>
      </c>
      <c r="K43" s="167">
        <f t="shared" si="7"/>
        <v>36.300000000000004</v>
      </c>
      <c r="L43" s="167">
        <f t="shared" si="14"/>
        <v>36.808200000000006</v>
      </c>
      <c r="M43" s="167">
        <f t="shared" si="15"/>
        <v>38.096487000000003</v>
      </c>
      <c r="N43" s="194"/>
      <c r="O43" s="196"/>
      <c r="P43" s="34"/>
    </row>
    <row r="44" spans="1:16">
      <c r="A44" s="1131" t="s">
        <v>906</v>
      </c>
      <c r="B44" s="35" t="s">
        <v>2361</v>
      </c>
      <c r="C44" s="166" t="s">
        <v>864</v>
      </c>
      <c r="D44" s="167">
        <v>7.76</v>
      </c>
      <c r="E44" s="167">
        <v>7.76</v>
      </c>
      <c r="F44" s="167">
        <v>8.8000000000000007</v>
      </c>
      <c r="G44" s="167">
        <f t="shared" si="0"/>
        <v>8.8000000000000007</v>
      </c>
      <c r="H44" s="167">
        <f t="shared" si="9"/>
        <v>8.8000000000000007</v>
      </c>
      <c r="I44" s="167">
        <f t="shared" si="10"/>
        <v>9.6800000000000015</v>
      </c>
      <c r="J44" s="167">
        <f t="shared" si="3"/>
        <v>9.6800000000000015</v>
      </c>
      <c r="K44" s="167">
        <f t="shared" si="7"/>
        <v>9.6800000000000015</v>
      </c>
      <c r="L44" s="167">
        <f t="shared" si="14"/>
        <v>9.8155200000000011</v>
      </c>
      <c r="M44" s="167">
        <f t="shared" si="15"/>
        <v>10.1590632</v>
      </c>
      <c r="N44" s="194"/>
      <c r="O44" s="196"/>
      <c r="P44" s="34"/>
    </row>
    <row r="45" spans="1:16">
      <c r="A45" s="41" t="s">
        <v>907</v>
      </c>
      <c r="B45" s="24" t="s">
        <v>1398</v>
      </c>
      <c r="C45" s="75"/>
      <c r="D45" s="193"/>
      <c r="E45" s="167"/>
      <c r="F45" s="167"/>
      <c r="G45" s="167"/>
      <c r="H45" s="167"/>
      <c r="I45" s="167"/>
      <c r="J45" s="167"/>
      <c r="K45" s="167"/>
      <c r="L45" s="167"/>
      <c r="M45" s="167">
        <f t="shared" si="15"/>
        <v>0</v>
      </c>
      <c r="N45" s="194"/>
      <c r="O45" s="155"/>
    </row>
    <row r="46" spans="1:16">
      <c r="A46" s="41"/>
      <c r="B46" s="24" t="s">
        <v>872</v>
      </c>
      <c r="C46" s="75" t="s">
        <v>893</v>
      </c>
      <c r="D46" s="193">
        <v>20</v>
      </c>
      <c r="E46" s="167">
        <v>20</v>
      </c>
      <c r="F46" s="167">
        <f t="shared" si="16"/>
        <v>20</v>
      </c>
      <c r="G46" s="167">
        <f t="shared" si="0"/>
        <v>20</v>
      </c>
      <c r="H46" s="167">
        <f t="shared" si="9"/>
        <v>20</v>
      </c>
      <c r="I46" s="167">
        <f t="shared" si="10"/>
        <v>22</v>
      </c>
      <c r="J46" s="167">
        <f t="shared" si="3"/>
        <v>22</v>
      </c>
      <c r="K46" s="167">
        <f t="shared" si="7"/>
        <v>22</v>
      </c>
      <c r="L46" s="167">
        <f>K46*(100%+$P$3*$Q$3)</f>
        <v>22.308</v>
      </c>
      <c r="M46" s="167">
        <f t="shared" si="15"/>
        <v>23.088779999999996</v>
      </c>
      <c r="N46" s="194"/>
      <c r="O46" s="155"/>
    </row>
    <row r="47" spans="1:16">
      <c r="A47" s="41"/>
      <c r="B47" s="24" t="s">
        <v>873</v>
      </c>
      <c r="C47" s="75" t="s">
        <v>893</v>
      </c>
      <c r="D47" s="193">
        <v>23</v>
      </c>
      <c r="E47" s="167">
        <v>23</v>
      </c>
      <c r="F47" s="167">
        <f t="shared" si="16"/>
        <v>23</v>
      </c>
      <c r="G47" s="167">
        <f t="shared" si="0"/>
        <v>23</v>
      </c>
      <c r="H47" s="167">
        <f t="shared" si="9"/>
        <v>23</v>
      </c>
      <c r="I47" s="167">
        <f t="shared" si="10"/>
        <v>25.3</v>
      </c>
      <c r="J47" s="167">
        <f t="shared" si="3"/>
        <v>25.3</v>
      </c>
      <c r="K47" s="167">
        <f t="shared" si="7"/>
        <v>25.3</v>
      </c>
      <c r="L47" s="167">
        <f>K47*(100%+$P$3*$Q$3)</f>
        <v>25.654199999999999</v>
      </c>
      <c r="M47" s="167">
        <f t="shared" si="15"/>
        <v>26.552096999999996</v>
      </c>
      <c r="N47" s="194"/>
      <c r="O47" s="155"/>
    </row>
    <row r="48" spans="1:16">
      <c r="A48" s="41"/>
      <c r="B48" s="24" t="s">
        <v>1399</v>
      </c>
      <c r="C48" s="75" t="s">
        <v>893</v>
      </c>
      <c r="D48" s="193">
        <v>26</v>
      </c>
      <c r="E48" s="167">
        <v>26</v>
      </c>
      <c r="F48" s="167">
        <f t="shared" si="16"/>
        <v>26</v>
      </c>
      <c r="G48" s="167">
        <f t="shared" si="0"/>
        <v>26</v>
      </c>
      <c r="H48" s="167">
        <f>G48</f>
        <v>26</v>
      </c>
      <c r="I48" s="167">
        <f t="shared" si="10"/>
        <v>28.6</v>
      </c>
      <c r="J48" s="167">
        <f t="shared" si="3"/>
        <v>28.6</v>
      </c>
      <c r="K48" s="167">
        <f t="shared" si="7"/>
        <v>28.6</v>
      </c>
      <c r="L48" s="167">
        <f>K48*(100%+$P$3*$Q$3)</f>
        <v>29.000400000000003</v>
      </c>
      <c r="M48" s="167">
        <f t="shared" si="15"/>
        <v>30.015414</v>
      </c>
      <c r="N48" s="194"/>
      <c r="O48" s="155"/>
    </row>
    <row r="49" spans="1:15">
      <c r="A49" s="41" t="s">
        <v>1397</v>
      </c>
      <c r="B49" s="24" t="s">
        <v>908</v>
      </c>
      <c r="C49" s="75"/>
      <c r="D49" s="193"/>
      <c r="E49" s="167"/>
      <c r="F49" s="167"/>
      <c r="G49" s="167">
        <f t="shared" si="0"/>
        <v>0</v>
      </c>
      <c r="H49" s="167">
        <f t="shared" si="9"/>
        <v>0</v>
      </c>
      <c r="I49" s="167"/>
      <c r="J49" s="167"/>
      <c r="K49" s="167"/>
      <c r="L49" s="167"/>
      <c r="M49" s="167">
        <f t="shared" si="15"/>
        <v>0</v>
      </c>
      <c r="N49" s="194"/>
      <c r="O49" s="155"/>
    </row>
    <row r="50" spans="1:15">
      <c r="A50" s="41"/>
      <c r="B50" s="24" t="s">
        <v>872</v>
      </c>
      <c r="C50" s="75" t="s">
        <v>864</v>
      </c>
      <c r="D50" s="193">
        <v>27</v>
      </c>
      <c r="E50" s="167">
        <v>27</v>
      </c>
      <c r="F50" s="167">
        <f t="shared" si="16"/>
        <v>27</v>
      </c>
      <c r="G50" s="167">
        <f t="shared" si="0"/>
        <v>27</v>
      </c>
      <c r="H50" s="167">
        <f t="shared" si="9"/>
        <v>27</v>
      </c>
      <c r="I50" s="167">
        <f t="shared" si="10"/>
        <v>29.700000000000003</v>
      </c>
      <c r="J50" s="167">
        <f t="shared" si="3"/>
        <v>29.700000000000003</v>
      </c>
      <c r="K50" s="167">
        <f t="shared" si="7"/>
        <v>29.700000000000003</v>
      </c>
      <c r="L50" s="167">
        <f>K50*(100%+$P$3*$Q$3)</f>
        <v>30.115800000000004</v>
      </c>
      <c r="M50" s="167">
        <f t="shared" si="15"/>
        <v>31.169853</v>
      </c>
      <c r="N50" s="194"/>
      <c r="O50" s="155"/>
    </row>
    <row r="51" spans="1:15">
      <c r="A51" s="41"/>
      <c r="B51" s="24" t="s">
        <v>873</v>
      </c>
      <c r="C51" s="75" t="s">
        <v>864</v>
      </c>
      <c r="D51" s="193">
        <v>30</v>
      </c>
      <c r="E51" s="167">
        <v>30</v>
      </c>
      <c r="F51" s="167">
        <f t="shared" si="16"/>
        <v>30</v>
      </c>
      <c r="G51" s="167">
        <f t="shared" si="0"/>
        <v>30</v>
      </c>
      <c r="H51" s="167">
        <f t="shared" si="9"/>
        <v>30</v>
      </c>
      <c r="I51" s="167">
        <f t="shared" si="10"/>
        <v>33</v>
      </c>
      <c r="J51" s="167">
        <f t="shared" si="3"/>
        <v>33</v>
      </c>
      <c r="K51" s="167">
        <f t="shared" si="7"/>
        <v>33</v>
      </c>
      <c r="L51" s="167">
        <f>K51*(100%+$P$3*$Q$3)</f>
        <v>33.462000000000003</v>
      </c>
      <c r="M51" s="167">
        <f t="shared" si="15"/>
        <v>34.63317</v>
      </c>
      <c r="N51" s="194"/>
      <c r="O51" s="155"/>
    </row>
    <row r="52" spans="1:15">
      <c r="A52" s="41"/>
      <c r="B52" s="24" t="s">
        <v>874</v>
      </c>
      <c r="C52" s="75" t="s">
        <v>864</v>
      </c>
      <c r="D52" s="193">
        <v>33</v>
      </c>
      <c r="E52" s="167">
        <v>33</v>
      </c>
      <c r="F52" s="167">
        <f t="shared" si="16"/>
        <v>33</v>
      </c>
      <c r="G52" s="167">
        <f>F52</f>
        <v>33</v>
      </c>
      <c r="H52" s="167">
        <f t="shared" si="9"/>
        <v>33</v>
      </c>
      <c r="I52" s="167">
        <f t="shared" si="10"/>
        <v>36.300000000000004</v>
      </c>
      <c r="J52" s="167">
        <f t="shared" si="3"/>
        <v>36.300000000000004</v>
      </c>
      <c r="K52" s="167">
        <f t="shared" si="7"/>
        <v>36.300000000000004</v>
      </c>
      <c r="L52" s="167">
        <f>K52*(100%+$P$3*$Q$3)</f>
        <v>36.808200000000006</v>
      </c>
      <c r="M52" s="167">
        <f t="shared" si="15"/>
        <v>38.096487000000003</v>
      </c>
      <c r="N52" s="194"/>
      <c r="O52" s="155"/>
    </row>
    <row r="53" spans="1:15">
      <c r="A53" s="41"/>
      <c r="B53" s="24" t="s">
        <v>875</v>
      </c>
      <c r="C53" s="75" t="s">
        <v>864</v>
      </c>
      <c r="D53" s="193">
        <v>36</v>
      </c>
      <c r="E53" s="167">
        <v>36</v>
      </c>
      <c r="F53" s="167">
        <f t="shared" si="16"/>
        <v>36</v>
      </c>
      <c r="G53" s="167">
        <f t="shared" si="0"/>
        <v>36</v>
      </c>
      <c r="H53" s="167">
        <f t="shared" si="9"/>
        <v>36</v>
      </c>
      <c r="I53" s="167">
        <f t="shared" si="10"/>
        <v>39.6</v>
      </c>
      <c r="J53" s="167">
        <f t="shared" si="3"/>
        <v>39.6</v>
      </c>
      <c r="K53" s="167">
        <f t="shared" si="7"/>
        <v>39.6</v>
      </c>
      <c r="L53" s="167">
        <f>K53*(100%+$P$3*$Q$3)</f>
        <v>40.154400000000003</v>
      </c>
      <c r="M53" s="167">
        <f t="shared" si="15"/>
        <v>41.559804</v>
      </c>
      <c r="N53" s="194"/>
      <c r="O53" s="155"/>
    </row>
    <row r="54" spans="1:15">
      <c r="A54" s="41"/>
      <c r="B54" s="24" t="s">
        <v>885</v>
      </c>
      <c r="C54" s="75" t="s">
        <v>864</v>
      </c>
      <c r="D54" s="193">
        <v>38</v>
      </c>
      <c r="E54" s="167">
        <v>38</v>
      </c>
      <c r="F54" s="167">
        <f t="shared" si="16"/>
        <v>38</v>
      </c>
      <c r="G54" s="167">
        <f t="shared" si="0"/>
        <v>38</v>
      </c>
      <c r="H54" s="167">
        <f t="shared" si="9"/>
        <v>38</v>
      </c>
      <c r="I54" s="167">
        <f t="shared" si="10"/>
        <v>41.800000000000004</v>
      </c>
      <c r="J54" s="167">
        <f t="shared" si="3"/>
        <v>41.800000000000004</v>
      </c>
      <c r="K54" s="167">
        <f t="shared" si="7"/>
        <v>41.800000000000004</v>
      </c>
      <c r="L54" s="167">
        <f>K54*(100%+$P$3*$Q$3)</f>
        <v>42.385200000000005</v>
      </c>
      <c r="M54" s="167">
        <f t="shared" si="15"/>
        <v>43.868682</v>
      </c>
      <c r="N54" s="194"/>
      <c r="O54" s="155"/>
    </row>
    <row r="55" spans="1:15" ht="21.75" customHeight="1">
      <c r="A55" s="1132" t="s">
        <v>891</v>
      </c>
      <c r="B55" s="1677" t="s">
        <v>1457</v>
      </c>
      <c r="C55" s="1677"/>
      <c r="D55" s="1677"/>
      <c r="E55" s="1677"/>
      <c r="F55" s="1677"/>
      <c r="G55" s="1677"/>
      <c r="H55" s="1677"/>
      <c r="I55" s="1677"/>
      <c r="J55" s="1677"/>
      <c r="K55" s="694"/>
      <c r="L55" s="694"/>
      <c r="M55" s="1249"/>
      <c r="N55" s="658"/>
    </row>
    <row r="56" spans="1:15">
      <c r="A56" s="41">
        <v>1</v>
      </c>
      <c r="B56" s="50" t="s">
        <v>909</v>
      </c>
      <c r="C56" s="25" t="s">
        <v>88</v>
      </c>
      <c r="D56" s="36">
        <v>219.45000000000002</v>
      </c>
      <c r="E56" s="36">
        <v>219.45</v>
      </c>
      <c r="F56" s="36">
        <v>220</v>
      </c>
      <c r="G56" s="36">
        <f>F56</f>
        <v>220</v>
      </c>
      <c r="H56" s="36">
        <f>G56</f>
        <v>220</v>
      </c>
      <c r="I56" s="36">
        <f>H56*1.1</f>
        <v>242.00000000000003</v>
      </c>
      <c r="J56" s="167">
        <v>250</v>
      </c>
      <c r="K56" s="167">
        <f t="shared" si="7"/>
        <v>250</v>
      </c>
      <c r="L56" s="167">
        <f>K56</f>
        <v>250</v>
      </c>
      <c r="M56" s="1248">
        <f>L56</f>
        <v>250</v>
      </c>
      <c r="N56" s="194"/>
    </row>
    <row r="57" spans="1:15">
      <c r="A57" s="41">
        <v>4</v>
      </c>
      <c r="B57" s="50" t="s">
        <v>910</v>
      </c>
      <c r="C57" s="25" t="s">
        <v>88</v>
      </c>
      <c r="D57" s="36">
        <v>1.7849999999999999</v>
      </c>
      <c r="E57" s="36">
        <v>1.7849999999999999</v>
      </c>
      <c r="F57" s="36">
        <v>1.8</v>
      </c>
      <c r="G57" s="36">
        <f t="shared" ref="G57:G70" si="17">F57</f>
        <v>1.8</v>
      </c>
      <c r="H57" s="36">
        <f t="shared" ref="H57:H70" si="18">G57</f>
        <v>1.8</v>
      </c>
      <c r="I57" s="36">
        <f t="shared" ref="I57:I70" si="19">H57*1.1</f>
        <v>1.9800000000000002</v>
      </c>
      <c r="J57" s="167">
        <f t="shared" si="3"/>
        <v>1.9800000000000002</v>
      </c>
      <c r="K57" s="167">
        <f t="shared" si="7"/>
        <v>1.9800000000000002</v>
      </c>
      <c r="L57" s="167">
        <f t="shared" ref="L57:L70" si="20">K57</f>
        <v>1.9800000000000002</v>
      </c>
      <c r="M57" s="1248">
        <f t="shared" ref="M57:M87" si="21">L57</f>
        <v>1.9800000000000002</v>
      </c>
      <c r="N57" s="194"/>
    </row>
    <row r="58" spans="1:15">
      <c r="A58" s="41">
        <v>5</v>
      </c>
      <c r="B58" s="50" t="s">
        <v>911</v>
      </c>
      <c r="C58" s="25" t="s">
        <v>88</v>
      </c>
      <c r="D58" s="36">
        <v>4.0949999999999998</v>
      </c>
      <c r="E58" s="36">
        <v>4.0949999999999998</v>
      </c>
      <c r="F58" s="36">
        <f t="shared" ref="F58:F62" si="22">E58</f>
        <v>4.0949999999999998</v>
      </c>
      <c r="G58" s="36">
        <f t="shared" si="17"/>
        <v>4.0949999999999998</v>
      </c>
      <c r="H58" s="36">
        <f t="shared" si="18"/>
        <v>4.0949999999999998</v>
      </c>
      <c r="I58" s="36">
        <f t="shared" si="19"/>
        <v>4.5045000000000002</v>
      </c>
      <c r="J58" s="167">
        <v>7</v>
      </c>
      <c r="K58" s="167">
        <f t="shared" si="7"/>
        <v>7</v>
      </c>
      <c r="L58" s="167">
        <f t="shared" si="20"/>
        <v>7</v>
      </c>
      <c r="M58" s="1248">
        <f t="shared" si="21"/>
        <v>7</v>
      </c>
      <c r="N58" s="194"/>
    </row>
    <row r="59" spans="1:15">
      <c r="A59" s="41">
        <v>6</v>
      </c>
      <c r="B59" s="50" t="s">
        <v>912</v>
      </c>
      <c r="C59" s="25" t="s">
        <v>88</v>
      </c>
      <c r="D59" s="36">
        <v>0.63</v>
      </c>
      <c r="E59" s="36">
        <v>0.63</v>
      </c>
      <c r="F59" s="36">
        <v>0.65</v>
      </c>
      <c r="G59" s="36">
        <f t="shared" si="17"/>
        <v>0.65</v>
      </c>
      <c r="H59" s="36">
        <f t="shared" si="18"/>
        <v>0.65</v>
      </c>
      <c r="I59" s="36">
        <f t="shared" si="19"/>
        <v>0.71500000000000008</v>
      </c>
      <c r="J59" s="167">
        <f t="shared" si="3"/>
        <v>0.71500000000000008</v>
      </c>
      <c r="K59" s="167">
        <f t="shared" si="7"/>
        <v>0.71500000000000008</v>
      </c>
      <c r="L59" s="167">
        <f t="shared" si="20"/>
        <v>0.71500000000000008</v>
      </c>
      <c r="M59" s="1248">
        <f t="shared" si="21"/>
        <v>0.71500000000000008</v>
      </c>
      <c r="N59" s="194"/>
    </row>
    <row r="60" spans="1:15">
      <c r="A60" s="41">
        <v>7</v>
      </c>
      <c r="B60" s="50" t="s">
        <v>913</v>
      </c>
      <c r="C60" s="25" t="s">
        <v>88</v>
      </c>
      <c r="D60" s="36">
        <v>173.25</v>
      </c>
      <c r="E60" s="36">
        <v>173.25</v>
      </c>
      <c r="F60" s="36">
        <v>174</v>
      </c>
      <c r="G60" s="36">
        <f t="shared" si="17"/>
        <v>174</v>
      </c>
      <c r="H60" s="36">
        <f t="shared" si="18"/>
        <v>174</v>
      </c>
      <c r="I60" s="36">
        <f t="shared" si="19"/>
        <v>191.4</v>
      </c>
      <c r="J60" s="167">
        <f t="shared" si="3"/>
        <v>191.4</v>
      </c>
      <c r="K60" s="167">
        <f t="shared" si="7"/>
        <v>191.4</v>
      </c>
      <c r="L60" s="167">
        <f t="shared" si="20"/>
        <v>191.4</v>
      </c>
      <c r="M60" s="1248">
        <f t="shared" si="21"/>
        <v>191.4</v>
      </c>
      <c r="N60" s="194"/>
    </row>
    <row r="61" spans="1:15">
      <c r="A61" s="41">
        <v>8</v>
      </c>
      <c r="B61" s="50" t="s">
        <v>914</v>
      </c>
      <c r="C61" s="25" t="s">
        <v>796</v>
      </c>
      <c r="D61" s="36">
        <v>2.94</v>
      </c>
      <c r="E61" s="36">
        <v>2.94</v>
      </c>
      <c r="F61" s="36">
        <f t="shared" si="22"/>
        <v>2.94</v>
      </c>
      <c r="G61" s="36">
        <f t="shared" si="17"/>
        <v>2.94</v>
      </c>
      <c r="H61" s="36">
        <f t="shared" si="18"/>
        <v>2.94</v>
      </c>
      <c r="I61" s="36">
        <f t="shared" si="19"/>
        <v>3.234</v>
      </c>
      <c r="J61" s="167">
        <f t="shared" si="3"/>
        <v>3.234</v>
      </c>
      <c r="K61" s="167">
        <f t="shared" si="7"/>
        <v>3.234</v>
      </c>
      <c r="L61" s="167">
        <f t="shared" si="20"/>
        <v>3.234</v>
      </c>
      <c r="M61" s="1248">
        <f t="shared" si="21"/>
        <v>3.234</v>
      </c>
      <c r="N61" s="194"/>
    </row>
    <row r="62" spans="1:15">
      <c r="A62" s="41">
        <v>9</v>
      </c>
      <c r="B62" s="50" t="s">
        <v>915</v>
      </c>
      <c r="C62" s="25" t="s">
        <v>796</v>
      </c>
      <c r="D62" s="36">
        <v>1.7849999999999999</v>
      </c>
      <c r="E62" s="36">
        <v>1.7849999999999999</v>
      </c>
      <c r="F62" s="36">
        <f t="shared" si="22"/>
        <v>1.7849999999999999</v>
      </c>
      <c r="G62" s="36">
        <f t="shared" si="17"/>
        <v>1.7849999999999999</v>
      </c>
      <c r="H62" s="36">
        <f t="shared" si="18"/>
        <v>1.7849999999999999</v>
      </c>
      <c r="I62" s="36">
        <f t="shared" si="19"/>
        <v>1.9635</v>
      </c>
      <c r="J62" s="167">
        <f t="shared" si="3"/>
        <v>1.9635</v>
      </c>
      <c r="K62" s="167">
        <f t="shared" si="7"/>
        <v>1.9635</v>
      </c>
      <c r="L62" s="167">
        <f t="shared" si="20"/>
        <v>1.9635</v>
      </c>
      <c r="M62" s="1248">
        <f t="shared" si="21"/>
        <v>1.9635</v>
      </c>
      <c r="N62" s="194"/>
    </row>
    <row r="63" spans="1:15">
      <c r="A63" s="41">
        <v>10</v>
      </c>
      <c r="B63" s="50" t="s">
        <v>916</v>
      </c>
      <c r="C63" s="25" t="s">
        <v>88</v>
      </c>
      <c r="D63" s="36">
        <v>173.25</v>
      </c>
      <c r="E63" s="36">
        <v>173.25</v>
      </c>
      <c r="F63" s="36">
        <v>173.5</v>
      </c>
      <c r="G63" s="36">
        <f t="shared" si="17"/>
        <v>173.5</v>
      </c>
      <c r="H63" s="36">
        <f t="shared" si="18"/>
        <v>173.5</v>
      </c>
      <c r="I63" s="36">
        <f t="shared" si="19"/>
        <v>190.85000000000002</v>
      </c>
      <c r="J63" s="167">
        <f t="shared" si="3"/>
        <v>190.85000000000002</v>
      </c>
      <c r="K63" s="167">
        <f t="shared" si="7"/>
        <v>190.85000000000002</v>
      </c>
      <c r="L63" s="167">
        <f t="shared" si="20"/>
        <v>190.85000000000002</v>
      </c>
      <c r="M63" s="1248">
        <f t="shared" si="21"/>
        <v>190.85000000000002</v>
      </c>
      <c r="N63" s="194"/>
    </row>
    <row r="64" spans="1:15">
      <c r="A64" s="41">
        <v>11</v>
      </c>
      <c r="B64" s="50" t="s">
        <v>917</v>
      </c>
      <c r="C64" s="25" t="s">
        <v>88</v>
      </c>
      <c r="D64" s="36">
        <v>115.5</v>
      </c>
      <c r="E64" s="36">
        <v>115.5</v>
      </c>
      <c r="F64" s="36">
        <v>116</v>
      </c>
      <c r="G64" s="36">
        <f t="shared" si="17"/>
        <v>116</v>
      </c>
      <c r="H64" s="36">
        <f t="shared" si="18"/>
        <v>116</v>
      </c>
      <c r="I64" s="36">
        <f t="shared" si="19"/>
        <v>127.60000000000001</v>
      </c>
      <c r="J64" s="167">
        <f t="shared" si="3"/>
        <v>127.60000000000001</v>
      </c>
      <c r="K64" s="167">
        <f t="shared" si="7"/>
        <v>127.60000000000001</v>
      </c>
      <c r="L64" s="167">
        <f t="shared" si="20"/>
        <v>127.60000000000001</v>
      </c>
      <c r="M64" s="1248">
        <f t="shared" si="21"/>
        <v>127.60000000000001</v>
      </c>
      <c r="N64" s="194"/>
    </row>
    <row r="65" spans="1:14">
      <c r="A65" s="41">
        <v>12</v>
      </c>
      <c r="B65" s="50" t="s">
        <v>918</v>
      </c>
      <c r="C65" s="25" t="s">
        <v>88</v>
      </c>
      <c r="D65" s="36">
        <v>80.850000000000009</v>
      </c>
      <c r="E65" s="36">
        <v>80.850000000000009</v>
      </c>
      <c r="F65" s="36">
        <v>81</v>
      </c>
      <c r="G65" s="36">
        <f t="shared" si="17"/>
        <v>81</v>
      </c>
      <c r="H65" s="36">
        <f t="shared" si="18"/>
        <v>81</v>
      </c>
      <c r="I65" s="36">
        <f t="shared" si="19"/>
        <v>89.100000000000009</v>
      </c>
      <c r="J65" s="167">
        <f t="shared" si="3"/>
        <v>89.100000000000009</v>
      </c>
      <c r="K65" s="167">
        <f t="shared" si="7"/>
        <v>89.100000000000009</v>
      </c>
      <c r="L65" s="167">
        <f t="shared" si="20"/>
        <v>89.100000000000009</v>
      </c>
      <c r="M65" s="1248">
        <f t="shared" si="21"/>
        <v>89.100000000000009</v>
      </c>
      <c r="N65" s="194"/>
    </row>
    <row r="66" spans="1:14">
      <c r="A66" s="41">
        <v>13</v>
      </c>
      <c r="B66" s="50" t="s">
        <v>919</v>
      </c>
      <c r="C66" s="25" t="s">
        <v>88</v>
      </c>
      <c r="D66" s="36">
        <v>34.65</v>
      </c>
      <c r="E66" s="36">
        <v>34.65</v>
      </c>
      <c r="F66" s="36">
        <v>34.700000000000003</v>
      </c>
      <c r="G66" s="36">
        <f t="shared" si="17"/>
        <v>34.700000000000003</v>
      </c>
      <c r="H66" s="36">
        <f t="shared" si="18"/>
        <v>34.700000000000003</v>
      </c>
      <c r="I66" s="36">
        <f t="shared" si="19"/>
        <v>38.170000000000009</v>
      </c>
      <c r="J66" s="167">
        <f t="shared" si="3"/>
        <v>38.170000000000009</v>
      </c>
      <c r="K66" s="167">
        <f t="shared" si="7"/>
        <v>38.170000000000009</v>
      </c>
      <c r="L66" s="167">
        <f t="shared" si="20"/>
        <v>38.170000000000009</v>
      </c>
      <c r="M66" s="1248">
        <f t="shared" si="21"/>
        <v>38.170000000000009</v>
      </c>
      <c r="N66" s="194"/>
    </row>
    <row r="67" spans="1:14">
      <c r="A67" s="41">
        <v>14</v>
      </c>
      <c r="B67" s="50" t="s">
        <v>920</v>
      </c>
      <c r="C67" s="25" t="s">
        <v>88</v>
      </c>
      <c r="D67" s="36">
        <v>138.6</v>
      </c>
      <c r="E67" s="36">
        <v>138.6</v>
      </c>
      <c r="F67" s="36">
        <v>139</v>
      </c>
      <c r="G67" s="36">
        <f t="shared" si="17"/>
        <v>139</v>
      </c>
      <c r="H67" s="36">
        <f t="shared" si="18"/>
        <v>139</v>
      </c>
      <c r="I67" s="36">
        <f t="shared" si="19"/>
        <v>152.9</v>
      </c>
      <c r="J67" s="167">
        <f t="shared" si="3"/>
        <v>152.9</v>
      </c>
      <c r="K67" s="167">
        <f t="shared" si="7"/>
        <v>152.9</v>
      </c>
      <c r="L67" s="167">
        <f t="shared" si="20"/>
        <v>152.9</v>
      </c>
      <c r="M67" s="1248">
        <f t="shared" si="21"/>
        <v>152.9</v>
      </c>
      <c r="N67" s="194"/>
    </row>
    <row r="68" spans="1:14">
      <c r="A68" s="41">
        <v>15</v>
      </c>
      <c r="B68" s="50" t="s">
        <v>921</v>
      </c>
      <c r="C68" s="25" t="s">
        <v>88</v>
      </c>
      <c r="D68" s="36">
        <v>57.75</v>
      </c>
      <c r="E68" s="36">
        <v>57.75</v>
      </c>
      <c r="F68" s="36">
        <v>57.8</v>
      </c>
      <c r="G68" s="36">
        <f t="shared" si="17"/>
        <v>57.8</v>
      </c>
      <c r="H68" s="36">
        <f t="shared" si="18"/>
        <v>57.8</v>
      </c>
      <c r="I68" s="36">
        <f t="shared" si="19"/>
        <v>63.580000000000005</v>
      </c>
      <c r="J68" s="167">
        <f t="shared" si="3"/>
        <v>63.580000000000005</v>
      </c>
      <c r="K68" s="167">
        <f t="shared" si="7"/>
        <v>63.580000000000005</v>
      </c>
      <c r="L68" s="167">
        <f t="shared" si="20"/>
        <v>63.580000000000005</v>
      </c>
      <c r="M68" s="1248">
        <f t="shared" si="21"/>
        <v>63.580000000000005</v>
      </c>
      <c r="N68" s="194"/>
    </row>
    <row r="69" spans="1:14">
      <c r="A69" s="41">
        <v>16</v>
      </c>
      <c r="B69" s="50" t="s">
        <v>922</v>
      </c>
      <c r="C69" s="25" t="s">
        <v>88</v>
      </c>
      <c r="D69" s="36">
        <v>46.2</v>
      </c>
      <c r="E69" s="36">
        <v>46.2</v>
      </c>
      <c r="F69" s="36">
        <v>46.3</v>
      </c>
      <c r="G69" s="36">
        <f t="shared" si="17"/>
        <v>46.3</v>
      </c>
      <c r="H69" s="36">
        <f t="shared" si="18"/>
        <v>46.3</v>
      </c>
      <c r="I69" s="36">
        <f t="shared" si="19"/>
        <v>50.93</v>
      </c>
      <c r="J69" s="167">
        <f t="shared" si="3"/>
        <v>50.93</v>
      </c>
      <c r="K69" s="167">
        <f t="shared" si="7"/>
        <v>50.93</v>
      </c>
      <c r="L69" s="167">
        <f t="shared" si="20"/>
        <v>50.93</v>
      </c>
      <c r="M69" s="1248">
        <f t="shared" si="21"/>
        <v>50.93</v>
      </c>
      <c r="N69" s="194"/>
    </row>
    <row r="70" spans="1:14">
      <c r="A70" s="41">
        <v>17</v>
      </c>
      <c r="B70" s="50" t="s">
        <v>923</v>
      </c>
      <c r="C70" s="25" t="s">
        <v>88</v>
      </c>
      <c r="D70" s="36">
        <v>34.65</v>
      </c>
      <c r="E70" s="36">
        <v>34.65</v>
      </c>
      <c r="F70" s="36">
        <v>34.700000000000003</v>
      </c>
      <c r="G70" s="36">
        <f t="shared" si="17"/>
        <v>34.700000000000003</v>
      </c>
      <c r="H70" s="36">
        <f t="shared" si="18"/>
        <v>34.700000000000003</v>
      </c>
      <c r="I70" s="36">
        <f t="shared" si="19"/>
        <v>38.170000000000009</v>
      </c>
      <c r="J70" s="167">
        <f t="shared" si="3"/>
        <v>38.170000000000009</v>
      </c>
      <c r="K70" s="167">
        <f t="shared" si="7"/>
        <v>38.170000000000009</v>
      </c>
      <c r="L70" s="167">
        <f t="shared" si="20"/>
        <v>38.170000000000009</v>
      </c>
      <c r="M70" s="1248">
        <f t="shared" si="21"/>
        <v>38.170000000000009</v>
      </c>
      <c r="N70" s="194"/>
    </row>
    <row r="71" spans="1:14" ht="22.5" customHeight="1">
      <c r="A71" s="1133" t="s">
        <v>894</v>
      </c>
      <c r="B71" s="1678" t="s">
        <v>924</v>
      </c>
      <c r="C71" s="1678"/>
      <c r="D71" s="1678"/>
      <c r="E71" s="1678"/>
      <c r="F71" s="1678"/>
      <c r="G71" s="1678"/>
      <c r="H71" s="1678"/>
      <c r="I71" s="1678"/>
      <c r="J71" s="1678"/>
      <c r="K71" s="694"/>
      <c r="L71" s="694"/>
      <c r="M71" s="1249"/>
      <c r="N71" s="658"/>
    </row>
    <row r="72" spans="1:14">
      <c r="A72" s="41">
        <v>1</v>
      </c>
      <c r="B72" s="71" t="s">
        <v>925</v>
      </c>
      <c r="C72" s="25" t="s">
        <v>926</v>
      </c>
      <c r="D72" s="36">
        <v>63</v>
      </c>
      <c r="E72" s="36">
        <v>63</v>
      </c>
      <c r="F72" s="36">
        <f>E72</f>
        <v>63</v>
      </c>
      <c r="G72" s="36">
        <f>F72</f>
        <v>63</v>
      </c>
      <c r="H72" s="36">
        <f>G72</f>
        <v>63</v>
      </c>
      <c r="I72" s="36">
        <f>H72*1.1</f>
        <v>69.300000000000011</v>
      </c>
      <c r="J72" s="167">
        <f t="shared" si="3"/>
        <v>69.300000000000011</v>
      </c>
      <c r="K72" s="167">
        <f t="shared" ref="K72:K134" si="23">J72</f>
        <v>69.300000000000011</v>
      </c>
      <c r="L72" s="167">
        <f>K72</f>
        <v>69.300000000000011</v>
      </c>
      <c r="M72" s="1248">
        <f t="shared" si="21"/>
        <v>69.300000000000011</v>
      </c>
      <c r="N72" s="194"/>
    </row>
    <row r="73" spans="1:14">
      <c r="A73" s="41">
        <v>2</v>
      </c>
      <c r="B73" s="71" t="s">
        <v>927</v>
      </c>
      <c r="C73" s="25" t="s">
        <v>926</v>
      </c>
      <c r="D73" s="36">
        <v>336</v>
      </c>
      <c r="E73" s="36">
        <v>336</v>
      </c>
      <c r="F73" s="36">
        <f t="shared" ref="F73:F87" si="24">E73</f>
        <v>336</v>
      </c>
      <c r="G73" s="36">
        <f t="shared" ref="G73:G87" si="25">F73</f>
        <v>336</v>
      </c>
      <c r="H73" s="36">
        <f t="shared" ref="H73:H87" si="26">G73</f>
        <v>336</v>
      </c>
      <c r="I73" s="36">
        <f t="shared" ref="I73:I87" si="27">H73*1.1</f>
        <v>369.6</v>
      </c>
      <c r="J73" s="167">
        <f t="shared" si="3"/>
        <v>369.6</v>
      </c>
      <c r="K73" s="167">
        <f t="shared" si="23"/>
        <v>369.6</v>
      </c>
      <c r="L73" s="167">
        <f t="shared" ref="L73:L87" si="28">K73</f>
        <v>369.6</v>
      </c>
      <c r="M73" s="1248">
        <f t="shared" si="21"/>
        <v>369.6</v>
      </c>
      <c r="N73" s="194"/>
    </row>
    <row r="74" spans="1:14">
      <c r="A74" s="41">
        <v>3</v>
      </c>
      <c r="B74" s="71" t="s">
        <v>928</v>
      </c>
      <c r="C74" s="25" t="s">
        <v>926</v>
      </c>
      <c r="D74" s="36">
        <v>63</v>
      </c>
      <c r="E74" s="36">
        <v>63</v>
      </c>
      <c r="F74" s="36">
        <f t="shared" si="24"/>
        <v>63</v>
      </c>
      <c r="G74" s="36">
        <f t="shared" si="25"/>
        <v>63</v>
      </c>
      <c r="H74" s="36">
        <f t="shared" si="26"/>
        <v>63</v>
      </c>
      <c r="I74" s="36">
        <f t="shared" si="27"/>
        <v>69.300000000000011</v>
      </c>
      <c r="J74" s="167">
        <f t="shared" ref="J74:J87" si="29">I74</f>
        <v>69.300000000000011</v>
      </c>
      <c r="K74" s="167">
        <f t="shared" si="23"/>
        <v>69.300000000000011</v>
      </c>
      <c r="L74" s="167">
        <f t="shared" si="28"/>
        <v>69.300000000000011</v>
      </c>
      <c r="M74" s="1248">
        <f t="shared" si="21"/>
        <v>69.300000000000011</v>
      </c>
      <c r="N74" s="194"/>
    </row>
    <row r="75" spans="1:14">
      <c r="A75" s="41">
        <v>4</v>
      </c>
      <c r="B75" s="71" t="s">
        <v>929</v>
      </c>
      <c r="C75" s="25" t="s">
        <v>926</v>
      </c>
      <c r="D75" s="36">
        <v>126</v>
      </c>
      <c r="E75" s="36">
        <v>126</v>
      </c>
      <c r="F75" s="36">
        <f t="shared" si="24"/>
        <v>126</v>
      </c>
      <c r="G75" s="36">
        <f t="shared" si="25"/>
        <v>126</v>
      </c>
      <c r="H75" s="36">
        <f t="shared" si="26"/>
        <v>126</v>
      </c>
      <c r="I75" s="36">
        <f t="shared" si="27"/>
        <v>138.60000000000002</v>
      </c>
      <c r="J75" s="167">
        <f t="shared" si="29"/>
        <v>138.60000000000002</v>
      </c>
      <c r="K75" s="167">
        <f t="shared" si="23"/>
        <v>138.60000000000002</v>
      </c>
      <c r="L75" s="167">
        <f t="shared" si="28"/>
        <v>138.60000000000002</v>
      </c>
      <c r="M75" s="1248">
        <f t="shared" si="21"/>
        <v>138.60000000000002</v>
      </c>
      <c r="N75" s="194"/>
    </row>
    <row r="76" spans="1:14">
      <c r="A76" s="41">
        <v>5</v>
      </c>
      <c r="B76" s="71" t="s">
        <v>930</v>
      </c>
      <c r="C76" s="25" t="s">
        <v>926</v>
      </c>
      <c r="D76" s="36">
        <v>682.5</v>
      </c>
      <c r="E76" s="36">
        <v>682.5</v>
      </c>
      <c r="F76" s="36">
        <f t="shared" si="24"/>
        <v>682.5</v>
      </c>
      <c r="G76" s="36">
        <f t="shared" si="25"/>
        <v>682.5</v>
      </c>
      <c r="H76" s="36">
        <f t="shared" si="26"/>
        <v>682.5</v>
      </c>
      <c r="I76" s="36">
        <f t="shared" si="27"/>
        <v>750.75000000000011</v>
      </c>
      <c r="J76" s="167">
        <f t="shared" si="29"/>
        <v>750.75000000000011</v>
      </c>
      <c r="K76" s="167">
        <f t="shared" si="23"/>
        <v>750.75000000000011</v>
      </c>
      <c r="L76" s="167">
        <f t="shared" si="28"/>
        <v>750.75000000000011</v>
      </c>
      <c r="M76" s="1248">
        <f t="shared" si="21"/>
        <v>750.75000000000011</v>
      </c>
      <c r="N76" s="194"/>
    </row>
    <row r="77" spans="1:14">
      <c r="A77" s="41">
        <v>6</v>
      </c>
      <c r="B77" s="71" t="s">
        <v>931</v>
      </c>
      <c r="C77" s="25" t="s">
        <v>88</v>
      </c>
      <c r="D77" s="36">
        <v>21</v>
      </c>
      <c r="E77" s="36">
        <v>21</v>
      </c>
      <c r="F77" s="36">
        <f t="shared" si="24"/>
        <v>21</v>
      </c>
      <c r="G77" s="36">
        <f t="shared" si="25"/>
        <v>21</v>
      </c>
      <c r="H77" s="36">
        <f t="shared" si="26"/>
        <v>21</v>
      </c>
      <c r="I77" s="36">
        <f t="shared" si="27"/>
        <v>23.1</v>
      </c>
      <c r="J77" s="167">
        <f t="shared" si="29"/>
        <v>23.1</v>
      </c>
      <c r="K77" s="167">
        <f t="shared" si="23"/>
        <v>23.1</v>
      </c>
      <c r="L77" s="167">
        <f t="shared" si="28"/>
        <v>23.1</v>
      </c>
      <c r="M77" s="1248">
        <f t="shared" si="21"/>
        <v>23.1</v>
      </c>
      <c r="N77" s="194"/>
    </row>
    <row r="78" spans="1:14">
      <c r="A78" s="41">
        <v>7</v>
      </c>
      <c r="B78" s="71" t="s">
        <v>932</v>
      </c>
      <c r="C78" s="25" t="s">
        <v>926</v>
      </c>
      <c r="D78" s="36">
        <v>105</v>
      </c>
      <c r="E78" s="36">
        <v>105</v>
      </c>
      <c r="F78" s="36">
        <f t="shared" si="24"/>
        <v>105</v>
      </c>
      <c r="G78" s="36">
        <f t="shared" si="25"/>
        <v>105</v>
      </c>
      <c r="H78" s="36">
        <f t="shared" si="26"/>
        <v>105</v>
      </c>
      <c r="I78" s="36">
        <f t="shared" si="27"/>
        <v>115.50000000000001</v>
      </c>
      <c r="J78" s="167">
        <f t="shared" si="29"/>
        <v>115.50000000000001</v>
      </c>
      <c r="K78" s="167">
        <f t="shared" si="23"/>
        <v>115.50000000000001</v>
      </c>
      <c r="L78" s="167">
        <f t="shared" si="28"/>
        <v>115.50000000000001</v>
      </c>
      <c r="M78" s="1248">
        <f t="shared" si="21"/>
        <v>115.50000000000001</v>
      </c>
      <c r="N78" s="194"/>
    </row>
    <row r="79" spans="1:14">
      <c r="A79" s="41">
        <v>8</v>
      </c>
      <c r="B79" s="71" t="s">
        <v>933</v>
      </c>
      <c r="C79" s="25" t="s">
        <v>926</v>
      </c>
      <c r="D79" s="36">
        <v>105</v>
      </c>
      <c r="E79" s="36">
        <v>105</v>
      </c>
      <c r="F79" s="36">
        <f t="shared" si="24"/>
        <v>105</v>
      </c>
      <c r="G79" s="36">
        <f t="shared" si="25"/>
        <v>105</v>
      </c>
      <c r="H79" s="36">
        <f t="shared" si="26"/>
        <v>105</v>
      </c>
      <c r="I79" s="36">
        <f t="shared" si="27"/>
        <v>115.50000000000001</v>
      </c>
      <c r="J79" s="167">
        <f t="shared" si="29"/>
        <v>115.50000000000001</v>
      </c>
      <c r="K79" s="167">
        <f t="shared" si="23"/>
        <v>115.50000000000001</v>
      </c>
      <c r="L79" s="167">
        <f t="shared" si="28"/>
        <v>115.50000000000001</v>
      </c>
      <c r="M79" s="1248">
        <f t="shared" si="21"/>
        <v>115.50000000000001</v>
      </c>
      <c r="N79" s="194"/>
    </row>
    <row r="80" spans="1:14">
      <c r="A80" s="41">
        <v>9</v>
      </c>
      <c r="B80" s="71" t="s">
        <v>934</v>
      </c>
      <c r="C80" s="25" t="s">
        <v>796</v>
      </c>
      <c r="D80" s="36">
        <v>2.1</v>
      </c>
      <c r="E80" s="36">
        <v>2.1</v>
      </c>
      <c r="F80" s="36">
        <f t="shared" si="24"/>
        <v>2.1</v>
      </c>
      <c r="G80" s="36">
        <f t="shared" si="25"/>
        <v>2.1</v>
      </c>
      <c r="H80" s="36">
        <f t="shared" si="26"/>
        <v>2.1</v>
      </c>
      <c r="I80" s="36">
        <f t="shared" si="27"/>
        <v>2.3100000000000005</v>
      </c>
      <c r="J80" s="167">
        <f t="shared" si="29"/>
        <v>2.3100000000000005</v>
      </c>
      <c r="K80" s="167">
        <f t="shared" si="23"/>
        <v>2.3100000000000005</v>
      </c>
      <c r="L80" s="167">
        <f t="shared" si="28"/>
        <v>2.3100000000000005</v>
      </c>
      <c r="M80" s="1248">
        <f t="shared" si="21"/>
        <v>2.3100000000000005</v>
      </c>
      <c r="N80" s="194"/>
    </row>
    <row r="81" spans="1:16">
      <c r="A81" s="41">
        <v>10</v>
      </c>
      <c r="B81" s="71" t="s">
        <v>935</v>
      </c>
      <c r="C81" s="25" t="s">
        <v>936</v>
      </c>
      <c r="D81" s="36">
        <v>15.75</v>
      </c>
      <c r="E81" s="36">
        <v>15.75</v>
      </c>
      <c r="F81" s="36">
        <f t="shared" si="24"/>
        <v>15.75</v>
      </c>
      <c r="G81" s="36">
        <f t="shared" si="25"/>
        <v>15.75</v>
      </c>
      <c r="H81" s="36">
        <f t="shared" si="26"/>
        <v>15.75</v>
      </c>
      <c r="I81" s="36">
        <f t="shared" si="27"/>
        <v>17.325000000000003</v>
      </c>
      <c r="J81" s="167">
        <f t="shared" si="29"/>
        <v>17.325000000000003</v>
      </c>
      <c r="K81" s="167">
        <f t="shared" si="23"/>
        <v>17.325000000000003</v>
      </c>
      <c r="L81" s="167">
        <f t="shared" si="28"/>
        <v>17.325000000000003</v>
      </c>
      <c r="M81" s="1248">
        <f t="shared" si="21"/>
        <v>17.325000000000003</v>
      </c>
      <c r="N81" s="194"/>
    </row>
    <row r="82" spans="1:16">
      <c r="A82" s="41">
        <v>11</v>
      </c>
      <c r="B82" s="71" t="s">
        <v>937</v>
      </c>
      <c r="C82" s="25" t="s">
        <v>936</v>
      </c>
      <c r="D82" s="36">
        <v>5.25</v>
      </c>
      <c r="E82" s="36">
        <v>5.25</v>
      </c>
      <c r="F82" s="36">
        <f t="shared" si="24"/>
        <v>5.25</v>
      </c>
      <c r="G82" s="36">
        <f t="shared" si="25"/>
        <v>5.25</v>
      </c>
      <c r="H82" s="36">
        <f t="shared" si="26"/>
        <v>5.25</v>
      </c>
      <c r="I82" s="36">
        <f t="shared" si="27"/>
        <v>5.7750000000000004</v>
      </c>
      <c r="J82" s="167">
        <f t="shared" si="29"/>
        <v>5.7750000000000004</v>
      </c>
      <c r="K82" s="167">
        <f t="shared" si="23"/>
        <v>5.7750000000000004</v>
      </c>
      <c r="L82" s="167">
        <f t="shared" si="28"/>
        <v>5.7750000000000004</v>
      </c>
      <c r="M82" s="1248">
        <f t="shared" si="21"/>
        <v>5.7750000000000004</v>
      </c>
      <c r="N82" s="194"/>
    </row>
    <row r="83" spans="1:16">
      <c r="A83" s="41">
        <v>12</v>
      </c>
      <c r="B83" s="71" t="s">
        <v>938</v>
      </c>
      <c r="C83" s="25" t="s">
        <v>936</v>
      </c>
      <c r="D83" s="36">
        <v>5.25</v>
      </c>
      <c r="E83" s="36">
        <v>5.25</v>
      </c>
      <c r="F83" s="36">
        <f t="shared" si="24"/>
        <v>5.25</v>
      </c>
      <c r="G83" s="36">
        <f t="shared" si="25"/>
        <v>5.25</v>
      </c>
      <c r="H83" s="36">
        <f t="shared" si="26"/>
        <v>5.25</v>
      </c>
      <c r="I83" s="36">
        <f t="shared" si="27"/>
        <v>5.7750000000000004</v>
      </c>
      <c r="J83" s="167">
        <f t="shared" si="29"/>
        <v>5.7750000000000004</v>
      </c>
      <c r="K83" s="167">
        <f t="shared" si="23"/>
        <v>5.7750000000000004</v>
      </c>
      <c r="L83" s="167">
        <f t="shared" si="28"/>
        <v>5.7750000000000004</v>
      </c>
      <c r="M83" s="1248">
        <f t="shared" si="21"/>
        <v>5.7750000000000004</v>
      </c>
      <c r="N83" s="194"/>
    </row>
    <row r="84" spans="1:16" ht="18.75" customHeight="1">
      <c r="A84" s="41">
        <v>13</v>
      </c>
      <c r="B84" s="78" t="s">
        <v>939</v>
      </c>
      <c r="C84" s="37" t="s">
        <v>940</v>
      </c>
      <c r="D84" s="143">
        <v>13125</v>
      </c>
      <c r="E84" s="143">
        <v>13125</v>
      </c>
      <c r="F84" s="36">
        <f t="shared" si="24"/>
        <v>13125</v>
      </c>
      <c r="G84" s="36">
        <f t="shared" si="25"/>
        <v>13125</v>
      </c>
      <c r="H84" s="36">
        <f t="shared" si="26"/>
        <v>13125</v>
      </c>
      <c r="I84" s="36">
        <f t="shared" si="27"/>
        <v>14437.500000000002</v>
      </c>
      <c r="J84" s="167">
        <f t="shared" si="29"/>
        <v>14437.500000000002</v>
      </c>
      <c r="K84" s="167">
        <f t="shared" si="23"/>
        <v>14437.500000000002</v>
      </c>
      <c r="L84" s="167">
        <f t="shared" si="28"/>
        <v>14437.500000000002</v>
      </c>
      <c r="M84" s="1248">
        <f t="shared" si="21"/>
        <v>14437.500000000002</v>
      </c>
      <c r="N84" s="194"/>
    </row>
    <row r="85" spans="1:16" ht="18.75" customHeight="1">
      <c r="A85" s="41">
        <v>14</v>
      </c>
      <c r="B85" s="71" t="s">
        <v>941</v>
      </c>
      <c r="C85" s="25" t="s">
        <v>940</v>
      </c>
      <c r="D85" s="36">
        <v>5250</v>
      </c>
      <c r="E85" s="36">
        <v>5250</v>
      </c>
      <c r="F85" s="36">
        <f t="shared" si="24"/>
        <v>5250</v>
      </c>
      <c r="G85" s="36">
        <f t="shared" si="25"/>
        <v>5250</v>
      </c>
      <c r="H85" s="36">
        <f t="shared" si="26"/>
        <v>5250</v>
      </c>
      <c r="I85" s="36">
        <f t="shared" si="27"/>
        <v>5775.0000000000009</v>
      </c>
      <c r="J85" s="167">
        <f t="shared" si="29"/>
        <v>5775.0000000000009</v>
      </c>
      <c r="K85" s="167">
        <f t="shared" si="23"/>
        <v>5775.0000000000009</v>
      </c>
      <c r="L85" s="167">
        <f t="shared" si="28"/>
        <v>5775.0000000000009</v>
      </c>
      <c r="M85" s="1248">
        <f t="shared" si="21"/>
        <v>5775.0000000000009</v>
      </c>
      <c r="N85" s="194"/>
    </row>
    <row r="86" spans="1:16" ht="33" customHeight="1">
      <c r="A86" s="41">
        <v>15</v>
      </c>
      <c r="B86" s="144" t="s">
        <v>942</v>
      </c>
      <c r="C86" s="37" t="s">
        <v>940</v>
      </c>
      <c r="D86" s="143">
        <v>3150</v>
      </c>
      <c r="E86" s="143">
        <v>3150</v>
      </c>
      <c r="F86" s="36">
        <f t="shared" si="24"/>
        <v>3150</v>
      </c>
      <c r="G86" s="36">
        <f>F86</f>
        <v>3150</v>
      </c>
      <c r="H86" s="36">
        <f t="shared" si="26"/>
        <v>3150</v>
      </c>
      <c r="I86" s="36">
        <f t="shared" si="27"/>
        <v>3465.0000000000005</v>
      </c>
      <c r="J86" s="167">
        <f t="shared" si="29"/>
        <v>3465.0000000000005</v>
      </c>
      <c r="K86" s="167">
        <f t="shared" si="23"/>
        <v>3465.0000000000005</v>
      </c>
      <c r="L86" s="167">
        <f t="shared" si="28"/>
        <v>3465.0000000000005</v>
      </c>
      <c r="M86" s="1248">
        <f t="shared" si="21"/>
        <v>3465.0000000000005</v>
      </c>
      <c r="N86" s="194"/>
    </row>
    <row r="87" spans="1:16" ht="30">
      <c r="A87" s="41">
        <v>16</v>
      </c>
      <c r="B87" s="144" t="s">
        <v>943</v>
      </c>
      <c r="C87" s="37" t="s">
        <v>940</v>
      </c>
      <c r="D87" s="143">
        <v>4725</v>
      </c>
      <c r="E87" s="143">
        <v>4725</v>
      </c>
      <c r="F87" s="36">
        <f t="shared" si="24"/>
        <v>4725</v>
      </c>
      <c r="G87" s="36">
        <f t="shared" si="25"/>
        <v>4725</v>
      </c>
      <c r="H87" s="36">
        <f t="shared" si="26"/>
        <v>4725</v>
      </c>
      <c r="I87" s="36">
        <f t="shared" si="27"/>
        <v>5197.5</v>
      </c>
      <c r="J87" s="167">
        <f t="shared" si="29"/>
        <v>5197.5</v>
      </c>
      <c r="K87" s="167">
        <f t="shared" si="23"/>
        <v>5197.5</v>
      </c>
      <c r="L87" s="167">
        <f t="shared" si="28"/>
        <v>5197.5</v>
      </c>
      <c r="M87" s="1248">
        <f t="shared" si="21"/>
        <v>5197.5</v>
      </c>
      <c r="N87" s="194"/>
    </row>
    <row r="88" spans="1:16" ht="21.75" customHeight="1">
      <c r="A88" s="1134" t="s">
        <v>896</v>
      </c>
      <c r="B88" s="1674" t="s">
        <v>944</v>
      </c>
      <c r="C88" s="1674"/>
      <c r="D88" s="1674"/>
      <c r="E88" s="1674"/>
      <c r="F88" s="1674"/>
      <c r="G88" s="1674"/>
      <c r="H88" s="1674"/>
      <c r="I88" s="1674"/>
      <c r="J88" s="1674"/>
      <c r="K88" s="167"/>
      <c r="L88" s="167"/>
      <c r="M88" s="1248"/>
      <c r="N88" s="194"/>
    </row>
    <row r="89" spans="1:16" ht="18" customHeight="1">
      <c r="A89" s="786" t="s">
        <v>814</v>
      </c>
      <c r="B89" s="620" t="s">
        <v>945</v>
      </c>
      <c r="C89" s="606"/>
      <c r="D89" s="695"/>
      <c r="E89" s="695"/>
      <c r="F89" s="695"/>
      <c r="G89" s="695"/>
      <c r="H89" s="695"/>
      <c r="I89" s="695"/>
      <c r="J89" s="696"/>
      <c r="K89" s="694"/>
      <c r="L89" s="694"/>
      <c r="M89" s="1249"/>
      <c r="N89" s="658"/>
    </row>
    <row r="90" spans="1:16" ht="18" customHeight="1">
      <c r="A90" s="41">
        <v>1</v>
      </c>
      <c r="B90" s="50" t="s">
        <v>946</v>
      </c>
      <c r="C90" s="25" t="s">
        <v>88</v>
      </c>
      <c r="D90" s="36">
        <v>21</v>
      </c>
      <c r="E90" s="36">
        <v>21</v>
      </c>
      <c r="F90" s="36">
        <f>E90</f>
        <v>21</v>
      </c>
      <c r="G90" s="36">
        <f>F90</f>
        <v>21</v>
      </c>
      <c r="H90" s="36">
        <f>G90</f>
        <v>21</v>
      </c>
      <c r="I90" s="36">
        <f>H90*1.1</f>
        <v>23.1</v>
      </c>
      <c r="J90" s="167">
        <f t="shared" ref="J90:J133" si="30">I90</f>
        <v>23.1</v>
      </c>
      <c r="K90" s="167">
        <f t="shared" si="23"/>
        <v>23.1</v>
      </c>
      <c r="L90" s="167">
        <f>K90</f>
        <v>23.1</v>
      </c>
      <c r="M90" s="1248">
        <f>L90</f>
        <v>23.1</v>
      </c>
      <c r="N90" s="194"/>
    </row>
    <row r="91" spans="1:16" ht="18" customHeight="1">
      <c r="A91" s="41">
        <v>2</v>
      </c>
      <c r="B91" s="50" t="s">
        <v>947</v>
      </c>
      <c r="C91" s="25" t="s">
        <v>88</v>
      </c>
      <c r="D91" s="36">
        <v>155</v>
      </c>
      <c r="E91" s="36">
        <v>155</v>
      </c>
      <c r="F91" s="36">
        <v>156</v>
      </c>
      <c r="G91" s="36">
        <f t="shared" ref="G91:G133" si="31">F91</f>
        <v>156</v>
      </c>
      <c r="H91" s="36">
        <f t="shared" ref="H91:H133" si="32">G91</f>
        <v>156</v>
      </c>
      <c r="I91" s="36">
        <f t="shared" ref="I91:I133" si="33">H91*1.1</f>
        <v>171.60000000000002</v>
      </c>
      <c r="J91" s="167">
        <v>200</v>
      </c>
      <c r="K91" s="167">
        <f t="shared" si="23"/>
        <v>200</v>
      </c>
      <c r="L91" s="167">
        <f t="shared" ref="L91:L154" si="34">K91</f>
        <v>200</v>
      </c>
      <c r="M91" s="1248">
        <f t="shared" ref="M91:M154" si="35">L91</f>
        <v>200</v>
      </c>
      <c r="N91" s="194"/>
      <c r="P91" s="177"/>
    </row>
    <row r="92" spans="1:16" ht="30">
      <c r="A92" s="41">
        <v>7</v>
      </c>
      <c r="B92" s="71" t="s">
        <v>948</v>
      </c>
      <c r="C92" s="25" t="s">
        <v>88</v>
      </c>
      <c r="D92" s="36">
        <v>10.5</v>
      </c>
      <c r="E92" s="36">
        <v>10.5</v>
      </c>
      <c r="F92" s="36">
        <v>10.6</v>
      </c>
      <c r="G92" s="36">
        <f t="shared" si="31"/>
        <v>10.6</v>
      </c>
      <c r="H92" s="36">
        <f t="shared" si="32"/>
        <v>10.6</v>
      </c>
      <c r="I92" s="36">
        <f t="shared" si="33"/>
        <v>11.66</v>
      </c>
      <c r="J92" s="167">
        <f t="shared" si="30"/>
        <v>11.66</v>
      </c>
      <c r="K92" s="167">
        <f t="shared" si="23"/>
        <v>11.66</v>
      </c>
      <c r="L92" s="167">
        <f t="shared" si="34"/>
        <v>11.66</v>
      </c>
      <c r="M92" s="1248">
        <f t="shared" si="35"/>
        <v>11.66</v>
      </c>
      <c r="N92" s="194"/>
    </row>
    <row r="93" spans="1:16" ht="30">
      <c r="A93" s="41">
        <v>8</v>
      </c>
      <c r="B93" s="71" t="s">
        <v>949</v>
      </c>
      <c r="C93" s="25" t="s">
        <v>88</v>
      </c>
      <c r="D93" s="36">
        <v>210</v>
      </c>
      <c r="E93" s="36">
        <v>210</v>
      </c>
      <c r="F93" s="36">
        <f t="shared" ref="F93:F133" si="36">E93</f>
        <v>210</v>
      </c>
      <c r="G93" s="36">
        <f t="shared" si="31"/>
        <v>210</v>
      </c>
      <c r="H93" s="36">
        <f t="shared" si="32"/>
        <v>210</v>
      </c>
      <c r="I93" s="36">
        <f t="shared" si="33"/>
        <v>231.00000000000003</v>
      </c>
      <c r="J93" s="167">
        <f t="shared" si="30"/>
        <v>231.00000000000003</v>
      </c>
      <c r="K93" s="167">
        <f t="shared" si="23"/>
        <v>231.00000000000003</v>
      </c>
      <c r="L93" s="167">
        <f t="shared" si="34"/>
        <v>231.00000000000003</v>
      </c>
      <c r="M93" s="1248">
        <f t="shared" si="35"/>
        <v>231.00000000000003</v>
      </c>
      <c r="N93" s="194"/>
    </row>
    <row r="94" spans="1:16" ht="18" customHeight="1">
      <c r="A94" s="41">
        <v>9</v>
      </c>
      <c r="B94" s="50" t="s">
        <v>950</v>
      </c>
      <c r="C94" s="25" t="s">
        <v>170</v>
      </c>
      <c r="D94" s="36">
        <v>262.5</v>
      </c>
      <c r="E94" s="36">
        <v>262.5</v>
      </c>
      <c r="F94" s="36">
        <f t="shared" si="36"/>
        <v>262.5</v>
      </c>
      <c r="G94" s="36">
        <f t="shared" si="31"/>
        <v>262.5</v>
      </c>
      <c r="H94" s="36">
        <f t="shared" si="32"/>
        <v>262.5</v>
      </c>
      <c r="I94" s="36">
        <f t="shared" si="33"/>
        <v>288.75</v>
      </c>
      <c r="J94" s="167">
        <f t="shared" si="30"/>
        <v>288.75</v>
      </c>
      <c r="K94" s="167">
        <f t="shared" si="23"/>
        <v>288.75</v>
      </c>
      <c r="L94" s="167">
        <f t="shared" si="34"/>
        <v>288.75</v>
      </c>
      <c r="M94" s="1248">
        <f t="shared" si="35"/>
        <v>288.75</v>
      </c>
      <c r="N94" s="194"/>
      <c r="O94" s="196"/>
    </row>
    <row r="95" spans="1:16" ht="18" customHeight="1">
      <c r="A95" s="41">
        <v>10</v>
      </c>
      <c r="B95" s="50" t="s">
        <v>951</v>
      </c>
      <c r="C95" s="25" t="s">
        <v>88</v>
      </c>
      <c r="D95" s="36">
        <v>12.600000000000001</v>
      </c>
      <c r="E95" s="36">
        <v>12.600000000000001</v>
      </c>
      <c r="F95" s="36">
        <f t="shared" si="36"/>
        <v>12.600000000000001</v>
      </c>
      <c r="G95" s="36">
        <f t="shared" si="31"/>
        <v>12.600000000000001</v>
      </c>
      <c r="H95" s="36">
        <f t="shared" si="32"/>
        <v>12.600000000000001</v>
      </c>
      <c r="I95" s="36">
        <f t="shared" si="33"/>
        <v>13.860000000000003</v>
      </c>
      <c r="J95" s="167">
        <f t="shared" si="30"/>
        <v>13.860000000000003</v>
      </c>
      <c r="K95" s="167">
        <f t="shared" si="23"/>
        <v>13.860000000000003</v>
      </c>
      <c r="L95" s="167">
        <f t="shared" si="34"/>
        <v>13.860000000000003</v>
      </c>
      <c r="M95" s="1248">
        <f t="shared" si="35"/>
        <v>13.860000000000003</v>
      </c>
      <c r="N95" s="194"/>
    </row>
    <row r="96" spans="1:16" ht="18" customHeight="1">
      <c r="A96" s="41">
        <v>11</v>
      </c>
      <c r="B96" s="50" t="s">
        <v>952</v>
      </c>
      <c r="C96" s="25" t="s">
        <v>88</v>
      </c>
      <c r="D96" s="36">
        <v>12.600000000000001</v>
      </c>
      <c r="E96" s="36">
        <v>12.600000000000001</v>
      </c>
      <c r="F96" s="36">
        <f t="shared" si="36"/>
        <v>12.600000000000001</v>
      </c>
      <c r="G96" s="36">
        <f t="shared" si="31"/>
        <v>12.600000000000001</v>
      </c>
      <c r="H96" s="36">
        <f t="shared" si="32"/>
        <v>12.600000000000001</v>
      </c>
      <c r="I96" s="36">
        <f t="shared" si="33"/>
        <v>13.860000000000003</v>
      </c>
      <c r="J96" s="167">
        <f t="shared" si="30"/>
        <v>13.860000000000003</v>
      </c>
      <c r="K96" s="167">
        <f t="shared" si="23"/>
        <v>13.860000000000003</v>
      </c>
      <c r="L96" s="167">
        <f t="shared" si="34"/>
        <v>13.860000000000003</v>
      </c>
      <c r="M96" s="1248">
        <f t="shared" si="35"/>
        <v>13.860000000000003</v>
      </c>
      <c r="N96" s="194"/>
    </row>
    <row r="97" spans="1:14" ht="18" customHeight="1">
      <c r="A97" s="41">
        <v>12</v>
      </c>
      <c r="B97" s="50" t="s">
        <v>953</v>
      </c>
      <c r="C97" s="25" t="s">
        <v>88</v>
      </c>
      <c r="D97" s="36">
        <v>31.5</v>
      </c>
      <c r="E97" s="36">
        <v>31.5</v>
      </c>
      <c r="F97" s="36">
        <f t="shared" si="36"/>
        <v>31.5</v>
      </c>
      <c r="G97" s="36">
        <f t="shared" si="31"/>
        <v>31.5</v>
      </c>
      <c r="H97" s="36">
        <f t="shared" si="32"/>
        <v>31.5</v>
      </c>
      <c r="I97" s="36">
        <f t="shared" si="33"/>
        <v>34.650000000000006</v>
      </c>
      <c r="J97" s="167">
        <f t="shared" si="30"/>
        <v>34.650000000000006</v>
      </c>
      <c r="K97" s="167">
        <f t="shared" si="23"/>
        <v>34.650000000000006</v>
      </c>
      <c r="L97" s="167">
        <f t="shared" si="34"/>
        <v>34.650000000000006</v>
      </c>
      <c r="M97" s="1248">
        <f t="shared" si="35"/>
        <v>34.650000000000006</v>
      </c>
      <c r="N97" s="194"/>
    </row>
    <row r="98" spans="1:14" ht="18" customHeight="1">
      <c r="A98" s="41">
        <v>13</v>
      </c>
      <c r="B98" s="50" t="s">
        <v>954</v>
      </c>
      <c r="C98" s="25" t="s">
        <v>88</v>
      </c>
      <c r="D98" s="36">
        <v>10.5</v>
      </c>
      <c r="E98" s="36">
        <v>10.5</v>
      </c>
      <c r="F98" s="36">
        <f t="shared" si="36"/>
        <v>10.5</v>
      </c>
      <c r="G98" s="36">
        <f t="shared" si="31"/>
        <v>10.5</v>
      </c>
      <c r="H98" s="36">
        <f t="shared" si="32"/>
        <v>10.5</v>
      </c>
      <c r="I98" s="36">
        <f t="shared" si="33"/>
        <v>11.55</v>
      </c>
      <c r="J98" s="167">
        <f t="shared" si="30"/>
        <v>11.55</v>
      </c>
      <c r="K98" s="167">
        <f t="shared" si="23"/>
        <v>11.55</v>
      </c>
      <c r="L98" s="167">
        <f t="shared" si="34"/>
        <v>11.55</v>
      </c>
      <c r="M98" s="1248">
        <f t="shared" si="35"/>
        <v>11.55</v>
      </c>
      <c r="N98" s="194"/>
    </row>
    <row r="99" spans="1:14" ht="18" customHeight="1">
      <c r="A99" s="41">
        <v>14</v>
      </c>
      <c r="B99" s="50" t="s">
        <v>955</v>
      </c>
      <c r="C99" s="25" t="s">
        <v>88</v>
      </c>
      <c r="D99" s="36">
        <v>8.4</v>
      </c>
      <c r="E99" s="36">
        <v>8.4</v>
      </c>
      <c r="F99" s="36">
        <f t="shared" si="36"/>
        <v>8.4</v>
      </c>
      <c r="G99" s="36">
        <f t="shared" si="31"/>
        <v>8.4</v>
      </c>
      <c r="H99" s="36">
        <f t="shared" si="32"/>
        <v>8.4</v>
      </c>
      <c r="I99" s="36">
        <f t="shared" si="33"/>
        <v>9.240000000000002</v>
      </c>
      <c r="J99" s="167">
        <f t="shared" si="30"/>
        <v>9.240000000000002</v>
      </c>
      <c r="K99" s="167">
        <f t="shared" si="23"/>
        <v>9.240000000000002</v>
      </c>
      <c r="L99" s="167">
        <f t="shared" si="34"/>
        <v>9.240000000000002</v>
      </c>
      <c r="M99" s="1248">
        <f t="shared" si="35"/>
        <v>9.240000000000002</v>
      </c>
      <c r="N99" s="194"/>
    </row>
    <row r="100" spans="1:14" ht="18" customHeight="1">
      <c r="A100" s="41">
        <v>15</v>
      </c>
      <c r="B100" s="50" t="s">
        <v>956</v>
      </c>
      <c r="C100" s="25" t="s">
        <v>88</v>
      </c>
      <c r="D100" s="36">
        <v>8.4</v>
      </c>
      <c r="E100" s="36">
        <v>8.4</v>
      </c>
      <c r="F100" s="36">
        <f t="shared" si="36"/>
        <v>8.4</v>
      </c>
      <c r="G100" s="36">
        <f t="shared" si="31"/>
        <v>8.4</v>
      </c>
      <c r="H100" s="36">
        <f t="shared" si="32"/>
        <v>8.4</v>
      </c>
      <c r="I100" s="36">
        <f>H100*1.1</f>
        <v>9.240000000000002</v>
      </c>
      <c r="J100" s="167">
        <f t="shared" si="30"/>
        <v>9.240000000000002</v>
      </c>
      <c r="K100" s="167">
        <f t="shared" si="23"/>
        <v>9.240000000000002</v>
      </c>
      <c r="L100" s="167">
        <f t="shared" si="34"/>
        <v>9.240000000000002</v>
      </c>
      <c r="M100" s="1248">
        <f t="shared" si="35"/>
        <v>9.240000000000002</v>
      </c>
      <c r="N100" s="194"/>
    </row>
    <row r="101" spans="1:14" ht="18" customHeight="1">
      <c r="A101" s="41">
        <v>16</v>
      </c>
      <c r="B101" s="50" t="s">
        <v>957</v>
      </c>
      <c r="C101" s="25" t="s">
        <v>88</v>
      </c>
      <c r="D101" s="36">
        <v>15.75</v>
      </c>
      <c r="E101" s="36">
        <v>15.75</v>
      </c>
      <c r="F101" s="36">
        <f t="shared" si="36"/>
        <v>15.75</v>
      </c>
      <c r="G101" s="36">
        <f t="shared" si="31"/>
        <v>15.75</v>
      </c>
      <c r="H101" s="36">
        <f t="shared" si="32"/>
        <v>15.75</v>
      </c>
      <c r="I101" s="36">
        <f t="shared" si="33"/>
        <v>17.325000000000003</v>
      </c>
      <c r="J101" s="167">
        <f t="shared" si="30"/>
        <v>17.325000000000003</v>
      </c>
      <c r="K101" s="167">
        <f t="shared" si="23"/>
        <v>17.325000000000003</v>
      </c>
      <c r="L101" s="167">
        <f t="shared" si="34"/>
        <v>17.325000000000003</v>
      </c>
      <c r="M101" s="1248">
        <f t="shared" si="35"/>
        <v>17.325000000000003</v>
      </c>
      <c r="N101" s="194"/>
    </row>
    <row r="102" spans="1:14" ht="18" customHeight="1">
      <c r="A102" s="41">
        <v>17</v>
      </c>
      <c r="B102" s="50" t="s">
        <v>958</v>
      </c>
      <c r="C102" s="25" t="s">
        <v>88</v>
      </c>
      <c r="D102" s="36">
        <v>10.5</v>
      </c>
      <c r="E102" s="36">
        <v>10.5</v>
      </c>
      <c r="F102" s="36">
        <f t="shared" si="36"/>
        <v>10.5</v>
      </c>
      <c r="G102" s="36">
        <f t="shared" si="31"/>
        <v>10.5</v>
      </c>
      <c r="H102" s="36">
        <f t="shared" si="32"/>
        <v>10.5</v>
      </c>
      <c r="I102" s="36">
        <f t="shared" si="33"/>
        <v>11.55</v>
      </c>
      <c r="J102" s="167">
        <f t="shared" si="30"/>
        <v>11.55</v>
      </c>
      <c r="K102" s="167">
        <f t="shared" si="23"/>
        <v>11.55</v>
      </c>
      <c r="L102" s="167">
        <f t="shared" si="34"/>
        <v>11.55</v>
      </c>
      <c r="M102" s="1248">
        <f t="shared" si="35"/>
        <v>11.55</v>
      </c>
      <c r="N102" s="194"/>
    </row>
    <row r="103" spans="1:14" ht="18" customHeight="1">
      <c r="A103" s="41">
        <v>18</v>
      </c>
      <c r="B103" s="50" t="s">
        <v>959</v>
      </c>
      <c r="C103" s="25" t="s">
        <v>88</v>
      </c>
      <c r="D103" s="36">
        <v>10.5</v>
      </c>
      <c r="E103" s="36">
        <v>10.5</v>
      </c>
      <c r="F103" s="36">
        <f t="shared" si="36"/>
        <v>10.5</v>
      </c>
      <c r="G103" s="36">
        <f t="shared" si="31"/>
        <v>10.5</v>
      </c>
      <c r="H103" s="36">
        <f t="shared" si="32"/>
        <v>10.5</v>
      </c>
      <c r="I103" s="36">
        <f t="shared" si="33"/>
        <v>11.55</v>
      </c>
      <c r="J103" s="167">
        <f t="shared" si="30"/>
        <v>11.55</v>
      </c>
      <c r="K103" s="167">
        <f t="shared" si="23"/>
        <v>11.55</v>
      </c>
      <c r="L103" s="167">
        <f t="shared" si="34"/>
        <v>11.55</v>
      </c>
      <c r="M103" s="1248">
        <f t="shared" si="35"/>
        <v>11.55</v>
      </c>
      <c r="N103" s="194"/>
    </row>
    <row r="104" spans="1:14" ht="18" customHeight="1">
      <c r="A104" s="41">
        <v>19</v>
      </c>
      <c r="B104" s="50" t="s">
        <v>960</v>
      </c>
      <c r="C104" s="25" t="s">
        <v>88</v>
      </c>
      <c r="D104" s="36">
        <v>15.75</v>
      </c>
      <c r="E104" s="36">
        <v>15.75</v>
      </c>
      <c r="F104" s="36">
        <f t="shared" si="36"/>
        <v>15.75</v>
      </c>
      <c r="G104" s="36">
        <f t="shared" si="31"/>
        <v>15.75</v>
      </c>
      <c r="H104" s="36">
        <f t="shared" si="32"/>
        <v>15.75</v>
      </c>
      <c r="I104" s="36">
        <f t="shared" si="33"/>
        <v>17.325000000000003</v>
      </c>
      <c r="J104" s="167">
        <f t="shared" si="30"/>
        <v>17.325000000000003</v>
      </c>
      <c r="K104" s="167">
        <f t="shared" si="23"/>
        <v>17.325000000000003</v>
      </c>
      <c r="L104" s="167">
        <f t="shared" si="34"/>
        <v>17.325000000000003</v>
      </c>
      <c r="M104" s="1248">
        <f t="shared" si="35"/>
        <v>17.325000000000003</v>
      </c>
      <c r="N104" s="194"/>
    </row>
    <row r="105" spans="1:14" ht="18" customHeight="1">
      <c r="A105" s="41">
        <v>20</v>
      </c>
      <c r="B105" s="50" t="s">
        <v>961</v>
      </c>
      <c r="C105" s="25" t="s">
        <v>88</v>
      </c>
      <c r="D105" s="36">
        <v>15.75</v>
      </c>
      <c r="E105" s="36">
        <v>15.75</v>
      </c>
      <c r="F105" s="36">
        <f t="shared" si="36"/>
        <v>15.75</v>
      </c>
      <c r="G105" s="36">
        <f t="shared" si="31"/>
        <v>15.75</v>
      </c>
      <c r="H105" s="36">
        <f t="shared" si="32"/>
        <v>15.75</v>
      </c>
      <c r="I105" s="36">
        <f t="shared" si="33"/>
        <v>17.325000000000003</v>
      </c>
      <c r="J105" s="167">
        <f t="shared" si="30"/>
        <v>17.325000000000003</v>
      </c>
      <c r="K105" s="167">
        <f t="shared" si="23"/>
        <v>17.325000000000003</v>
      </c>
      <c r="L105" s="167">
        <f t="shared" si="34"/>
        <v>17.325000000000003</v>
      </c>
      <c r="M105" s="1248">
        <f t="shared" si="35"/>
        <v>17.325000000000003</v>
      </c>
      <c r="N105" s="194"/>
    </row>
    <row r="106" spans="1:14" ht="18" customHeight="1">
      <c r="A106" s="41">
        <v>21</v>
      </c>
      <c r="B106" s="50" t="s">
        <v>962</v>
      </c>
      <c r="C106" s="25" t="s">
        <v>88</v>
      </c>
      <c r="D106" s="36">
        <v>21</v>
      </c>
      <c r="E106" s="36">
        <v>21</v>
      </c>
      <c r="F106" s="36">
        <f t="shared" si="36"/>
        <v>21</v>
      </c>
      <c r="G106" s="36">
        <f t="shared" si="31"/>
        <v>21</v>
      </c>
      <c r="H106" s="36">
        <f t="shared" si="32"/>
        <v>21</v>
      </c>
      <c r="I106" s="36">
        <f t="shared" si="33"/>
        <v>23.1</v>
      </c>
      <c r="J106" s="167">
        <f t="shared" si="30"/>
        <v>23.1</v>
      </c>
      <c r="K106" s="167">
        <f t="shared" si="23"/>
        <v>23.1</v>
      </c>
      <c r="L106" s="167">
        <f t="shared" si="34"/>
        <v>23.1</v>
      </c>
      <c r="M106" s="1248">
        <f t="shared" si="35"/>
        <v>23.1</v>
      </c>
      <c r="N106" s="194"/>
    </row>
    <row r="107" spans="1:14" ht="18" customHeight="1">
      <c r="A107" s="41">
        <v>22</v>
      </c>
      <c r="B107" s="50" t="s">
        <v>963</v>
      </c>
      <c r="C107" s="25" t="s">
        <v>88</v>
      </c>
      <c r="D107" s="36">
        <v>10.5</v>
      </c>
      <c r="E107" s="36">
        <v>10.5</v>
      </c>
      <c r="F107" s="36">
        <f t="shared" si="36"/>
        <v>10.5</v>
      </c>
      <c r="G107" s="36">
        <f t="shared" si="31"/>
        <v>10.5</v>
      </c>
      <c r="H107" s="36">
        <f t="shared" si="32"/>
        <v>10.5</v>
      </c>
      <c r="I107" s="36">
        <f t="shared" si="33"/>
        <v>11.55</v>
      </c>
      <c r="J107" s="167">
        <f t="shared" si="30"/>
        <v>11.55</v>
      </c>
      <c r="K107" s="167">
        <f t="shared" si="23"/>
        <v>11.55</v>
      </c>
      <c r="L107" s="167">
        <f t="shared" si="34"/>
        <v>11.55</v>
      </c>
      <c r="M107" s="1248">
        <f t="shared" si="35"/>
        <v>11.55</v>
      </c>
      <c r="N107" s="194"/>
    </row>
    <row r="108" spans="1:14" ht="18" customHeight="1">
      <c r="A108" s="41">
        <v>23</v>
      </c>
      <c r="B108" s="50" t="s">
        <v>964</v>
      </c>
      <c r="C108" s="25" t="s">
        <v>88</v>
      </c>
      <c r="D108" s="36">
        <v>17.850000000000001</v>
      </c>
      <c r="E108" s="36">
        <v>17.850000000000001</v>
      </c>
      <c r="F108" s="36">
        <f t="shared" si="36"/>
        <v>17.850000000000001</v>
      </c>
      <c r="G108" s="36">
        <f t="shared" si="31"/>
        <v>17.850000000000001</v>
      </c>
      <c r="H108" s="36">
        <f t="shared" si="32"/>
        <v>17.850000000000001</v>
      </c>
      <c r="I108" s="36">
        <f>H108*1.1</f>
        <v>19.635000000000002</v>
      </c>
      <c r="J108" s="167">
        <f t="shared" si="30"/>
        <v>19.635000000000002</v>
      </c>
      <c r="K108" s="167">
        <f t="shared" si="23"/>
        <v>19.635000000000002</v>
      </c>
      <c r="L108" s="167">
        <f t="shared" si="34"/>
        <v>19.635000000000002</v>
      </c>
      <c r="M108" s="1248">
        <f t="shared" si="35"/>
        <v>19.635000000000002</v>
      </c>
      <c r="N108" s="194"/>
    </row>
    <row r="109" spans="1:14" ht="18" customHeight="1">
      <c r="A109" s="41">
        <v>24</v>
      </c>
      <c r="B109" s="50" t="s">
        <v>965</v>
      </c>
      <c r="C109" s="25" t="s">
        <v>88</v>
      </c>
      <c r="D109" s="36">
        <v>52.5</v>
      </c>
      <c r="E109" s="36">
        <v>52.5</v>
      </c>
      <c r="F109" s="36">
        <f t="shared" si="36"/>
        <v>52.5</v>
      </c>
      <c r="G109" s="36">
        <f t="shared" si="31"/>
        <v>52.5</v>
      </c>
      <c r="H109" s="36">
        <f t="shared" si="32"/>
        <v>52.5</v>
      </c>
      <c r="I109" s="36">
        <f t="shared" si="33"/>
        <v>57.750000000000007</v>
      </c>
      <c r="J109" s="167">
        <f t="shared" si="30"/>
        <v>57.750000000000007</v>
      </c>
      <c r="K109" s="167">
        <f t="shared" si="23"/>
        <v>57.750000000000007</v>
      </c>
      <c r="L109" s="167">
        <f t="shared" si="34"/>
        <v>57.750000000000007</v>
      </c>
      <c r="M109" s="1248">
        <f t="shared" si="35"/>
        <v>57.750000000000007</v>
      </c>
      <c r="N109" s="194"/>
    </row>
    <row r="110" spans="1:14" ht="18" customHeight="1">
      <c r="A110" s="41">
        <v>25</v>
      </c>
      <c r="B110" s="50" t="s">
        <v>966</v>
      </c>
      <c r="C110" s="25" t="s">
        <v>88</v>
      </c>
      <c r="D110" s="36">
        <v>21</v>
      </c>
      <c r="E110" s="36">
        <v>21</v>
      </c>
      <c r="F110" s="36">
        <f t="shared" si="36"/>
        <v>21</v>
      </c>
      <c r="G110" s="36">
        <f t="shared" si="31"/>
        <v>21</v>
      </c>
      <c r="H110" s="36">
        <f t="shared" si="32"/>
        <v>21</v>
      </c>
      <c r="I110" s="36">
        <f t="shared" si="33"/>
        <v>23.1</v>
      </c>
      <c r="J110" s="167">
        <f t="shared" si="30"/>
        <v>23.1</v>
      </c>
      <c r="K110" s="167">
        <f t="shared" si="23"/>
        <v>23.1</v>
      </c>
      <c r="L110" s="167">
        <f t="shared" si="34"/>
        <v>23.1</v>
      </c>
      <c r="M110" s="1248">
        <f t="shared" si="35"/>
        <v>23.1</v>
      </c>
      <c r="N110" s="194"/>
    </row>
    <row r="111" spans="1:14" ht="18" customHeight="1">
      <c r="A111" s="41">
        <v>26</v>
      </c>
      <c r="B111" s="50" t="s">
        <v>967</v>
      </c>
      <c r="C111" s="25" t="s">
        <v>88</v>
      </c>
      <c r="D111" s="36">
        <v>8.4</v>
      </c>
      <c r="E111" s="36">
        <v>8.4</v>
      </c>
      <c r="F111" s="36">
        <f t="shared" si="36"/>
        <v>8.4</v>
      </c>
      <c r="G111" s="36">
        <f t="shared" si="31"/>
        <v>8.4</v>
      </c>
      <c r="H111" s="36">
        <f t="shared" si="32"/>
        <v>8.4</v>
      </c>
      <c r="I111" s="36">
        <f t="shared" si="33"/>
        <v>9.240000000000002</v>
      </c>
      <c r="J111" s="167">
        <f t="shared" si="30"/>
        <v>9.240000000000002</v>
      </c>
      <c r="K111" s="167">
        <f t="shared" si="23"/>
        <v>9.240000000000002</v>
      </c>
      <c r="L111" s="167">
        <f t="shared" si="34"/>
        <v>9.240000000000002</v>
      </c>
      <c r="M111" s="1248">
        <f t="shared" si="35"/>
        <v>9.240000000000002</v>
      </c>
      <c r="N111" s="194"/>
    </row>
    <row r="112" spans="1:14" ht="18" customHeight="1">
      <c r="A112" s="41">
        <v>27</v>
      </c>
      <c r="B112" s="50" t="s">
        <v>968</v>
      </c>
      <c r="C112" s="25" t="s">
        <v>88</v>
      </c>
      <c r="D112" s="36">
        <v>21</v>
      </c>
      <c r="E112" s="36">
        <v>21</v>
      </c>
      <c r="F112" s="36">
        <f t="shared" si="36"/>
        <v>21</v>
      </c>
      <c r="G112" s="36">
        <f t="shared" si="31"/>
        <v>21</v>
      </c>
      <c r="H112" s="36">
        <f t="shared" si="32"/>
        <v>21</v>
      </c>
      <c r="I112" s="36">
        <f t="shared" si="33"/>
        <v>23.1</v>
      </c>
      <c r="J112" s="167">
        <f t="shared" si="30"/>
        <v>23.1</v>
      </c>
      <c r="K112" s="167">
        <f t="shared" si="23"/>
        <v>23.1</v>
      </c>
      <c r="L112" s="167">
        <f t="shared" si="34"/>
        <v>23.1</v>
      </c>
      <c r="M112" s="1248">
        <f t="shared" si="35"/>
        <v>23.1</v>
      </c>
      <c r="N112" s="194"/>
    </row>
    <row r="113" spans="1:14" ht="18" customHeight="1">
      <c r="A113" s="41">
        <v>28</v>
      </c>
      <c r="B113" s="50" t="s">
        <v>969</v>
      </c>
      <c r="C113" s="25" t="s">
        <v>88</v>
      </c>
      <c r="D113" s="36">
        <v>10.5</v>
      </c>
      <c r="E113" s="36">
        <v>10.5</v>
      </c>
      <c r="F113" s="36">
        <f t="shared" si="36"/>
        <v>10.5</v>
      </c>
      <c r="G113" s="36">
        <f t="shared" si="31"/>
        <v>10.5</v>
      </c>
      <c r="H113" s="36">
        <f t="shared" si="32"/>
        <v>10.5</v>
      </c>
      <c r="I113" s="36">
        <f t="shared" si="33"/>
        <v>11.55</v>
      </c>
      <c r="J113" s="167">
        <f t="shared" si="30"/>
        <v>11.55</v>
      </c>
      <c r="K113" s="167">
        <f t="shared" si="23"/>
        <v>11.55</v>
      </c>
      <c r="L113" s="167">
        <f t="shared" si="34"/>
        <v>11.55</v>
      </c>
      <c r="M113" s="1248">
        <f t="shared" si="35"/>
        <v>11.55</v>
      </c>
      <c r="N113" s="194"/>
    </row>
    <row r="114" spans="1:14" ht="18" customHeight="1">
      <c r="A114" s="41">
        <v>29</v>
      </c>
      <c r="B114" s="50" t="s">
        <v>970</v>
      </c>
      <c r="C114" s="25" t="s">
        <v>88</v>
      </c>
      <c r="D114" s="36">
        <v>12.600000000000001</v>
      </c>
      <c r="E114" s="36">
        <v>12.600000000000001</v>
      </c>
      <c r="F114" s="36">
        <f t="shared" si="36"/>
        <v>12.600000000000001</v>
      </c>
      <c r="G114" s="36">
        <f t="shared" si="31"/>
        <v>12.600000000000001</v>
      </c>
      <c r="H114" s="36">
        <f t="shared" si="32"/>
        <v>12.600000000000001</v>
      </c>
      <c r="I114" s="36">
        <f t="shared" si="33"/>
        <v>13.860000000000003</v>
      </c>
      <c r="J114" s="167">
        <f t="shared" si="30"/>
        <v>13.860000000000003</v>
      </c>
      <c r="K114" s="167">
        <f t="shared" si="23"/>
        <v>13.860000000000003</v>
      </c>
      <c r="L114" s="167">
        <f t="shared" si="34"/>
        <v>13.860000000000003</v>
      </c>
      <c r="M114" s="1248">
        <f t="shared" si="35"/>
        <v>13.860000000000003</v>
      </c>
      <c r="N114" s="194"/>
    </row>
    <row r="115" spans="1:14" ht="18" customHeight="1">
      <c r="A115" s="41">
        <v>30</v>
      </c>
      <c r="B115" s="50" t="s">
        <v>971</v>
      </c>
      <c r="C115" s="25" t="s">
        <v>88</v>
      </c>
      <c r="D115" s="36">
        <v>12.600000000000001</v>
      </c>
      <c r="E115" s="36">
        <v>12.600000000000001</v>
      </c>
      <c r="F115" s="36">
        <f t="shared" si="36"/>
        <v>12.600000000000001</v>
      </c>
      <c r="G115" s="36">
        <f t="shared" si="31"/>
        <v>12.600000000000001</v>
      </c>
      <c r="H115" s="36">
        <f t="shared" si="32"/>
        <v>12.600000000000001</v>
      </c>
      <c r="I115" s="36">
        <f t="shared" si="33"/>
        <v>13.860000000000003</v>
      </c>
      <c r="J115" s="167">
        <f t="shared" si="30"/>
        <v>13.860000000000003</v>
      </c>
      <c r="K115" s="167">
        <f t="shared" si="23"/>
        <v>13.860000000000003</v>
      </c>
      <c r="L115" s="167">
        <f t="shared" si="34"/>
        <v>13.860000000000003</v>
      </c>
      <c r="M115" s="1248">
        <f t="shared" si="35"/>
        <v>13.860000000000003</v>
      </c>
      <c r="N115" s="194"/>
    </row>
    <row r="116" spans="1:14" ht="18" customHeight="1">
      <c r="A116" s="41">
        <v>31</v>
      </c>
      <c r="B116" s="50" t="s">
        <v>972</v>
      </c>
      <c r="C116" s="25" t="s">
        <v>88</v>
      </c>
      <c r="D116" s="36">
        <v>10.5</v>
      </c>
      <c r="E116" s="36">
        <v>10.5</v>
      </c>
      <c r="F116" s="36">
        <f t="shared" si="36"/>
        <v>10.5</v>
      </c>
      <c r="G116" s="36">
        <f t="shared" si="31"/>
        <v>10.5</v>
      </c>
      <c r="H116" s="36">
        <f t="shared" si="32"/>
        <v>10.5</v>
      </c>
      <c r="I116" s="36">
        <f t="shared" si="33"/>
        <v>11.55</v>
      </c>
      <c r="J116" s="167">
        <f t="shared" si="30"/>
        <v>11.55</v>
      </c>
      <c r="K116" s="167">
        <f t="shared" si="23"/>
        <v>11.55</v>
      </c>
      <c r="L116" s="167">
        <f t="shared" si="34"/>
        <v>11.55</v>
      </c>
      <c r="M116" s="1248">
        <f t="shared" si="35"/>
        <v>11.55</v>
      </c>
      <c r="N116" s="194"/>
    </row>
    <row r="117" spans="1:14" ht="18" customHeight="1">
      <c r="A117" s="41">
        <v>32</v>
      </c>
      <c r="B117" s="50" t="s">
        <v>973</v>
      </c>
      <c r="C117" s="25" t="s">
        <v>88</v>
      </c>
      <c r="D117" s="36">
        <v>17.850000000000001</v>
      </c>
      <c r="E117" s="36">
        <v>17.850000000000001</v>
      </c>
      <c r="F117" s="36">
        <f t="shared" si="36"/>
        <v>17.850000000000001</v>
      </c>
      <c r="G117" s="36">
        <f t="shared" si="31"/>
        <v>17.850000000000001</v>
      </c>
      <c r="H117" s="36">
        <f t="shared" si="32"/>
        <v>17.850000000000001</v>
      </c>
      <c r="I117" s="36">
        <f t="shared" si="33"/>
        <v>19.635000000000002</v>
      </c>
      <c r="J117" s="167">
        <f t="shared" si="30"/>
        <v>19.635000000000002</v>
      </c>
      <c r="K117" s="167">
        <f t="shared" si="23"/>
        <v>19.635000000000002</v>
      </c>
      <c r="L117" s="167">
        <f t="shared" si="34"/>
        <v>19.635000000000002</v>
      </c>
      <c r="M117" s="1248">
        <f t="shared" si="35"/>
        <v>19.635000000000002</v>
      </c>
      <c r="N117" s="194"/>
    </row>
    <row r="118" spans="1:14" ht="18" customHeight="1">
      <c r="A118" s="41">
        <v>33</v>
      </c>
      <c r="B118" s="50" t="s">
        <v>974</v>
      </c>
      <c r="C118" s="25" t="s">
        <v>88</v>
      </c>
      <c r="D118" s="36">
        <v>52.5</v>
      </c>
      <c r="E118" s="36">
        <v>52.5</v>
      </c>
      <c r="F118" s="36">
        <f t="shared" si="36"/>
        <v>52.5</v>
      </c>
      <c r="G118" s="36">
        <f t="shared" si="31"/>
        <v>52.5</v>
      </c>
      <c r="H118" s="36">
        <f t="shared" si="32"/>
        <v>52.5</v>
      </c>
      <c r="I118" s="36">
        <f>H118*1.1</f>
        <v>57.750000000000007</v>
      </c>
      <c r="J118" s="167">
        <f t="shared" si="30"/>
        <v>57.750000000000007</v>
      </c>
      <c r="K118" s="167">
        <f t="shared" si="23"/>
        <v>57.750000000000007</v>
      </c>
      <c r="L118" s="167">
        <f t="shared" si="34"/>
        <v>57.750000000000007</v>
      </c>
      <c r="M118" s="1248">
        <f t="shared" si="35"/>
        <v>57.750000000000007</v>
      </c>
      <c r="N118" s="194"/>
    </row>
    <row r="119" spans="1:14" ht="18" customHeight="1">
      <c r="A119" s="41">
        <v>34</v>
      </c>
      <c r="B119" s="50" t="s">
        <v>975</v>
      </c>
      <c r="C119" s="25" t="s">
        <v>88</v>
      </c>
      <c r="D119" s="36">
        <v>57.75</v>
      </c>
      <c r="E119" s="36">
        <v>57.75</v>
      </c>
      <c r="F119" s="36">
        <f t="shared" si="36"/>
        <v>57.75</v>
      </c>
      <c r="G119" s="36">
        <f t="shared" si="31"/>
        <v>57.75</v>
      </c>
      <c r="H119" s="36">
        <f t="shared" si="32"/>
        <v>57.75</v>
      </c>
      <c r="I119" s="36">
        <f t="shared" si="33"/>
        <v>63.525000000000006</v>
      </c>
      <c r="J119" s="167">
        <f t="shared" si="30"/>
        <v>63.525000000000006</v>
      </c>
      <c r="K119" s="167">
        <f t="shared" si="23"/>
        <v>63.525000000000006</v>
      </c>
      <c r="L119" s="167">
        <f t="shared" si="34"/>
        <v>63.525000000000006</v>
      </c>
      <c r="M119" s="1248">
        <f t="shared" si="35"/>
        <v>63.525000000000006</v>
      </c>
      <c r="N119" s="194"/>
    </row>
    <row r="120" spans="1:14" ht="18" customHeight="1">
      <c r="A120" s="41">
        <v>35</v>
      </c>
      <c r="B120" s="50" t="s">
        <v>976</v>
      </c>
      <c r="C120" s="25" t="s">
        <v>88</v>
      </c>
      <c r="D120" s="36">
        <v>15.75</v>
      </c>
      <c r="E120" s="36">
        <v>15.75</v>
      </c>
      <c r="F120" s="36">
        <f t="shared" si="36"/>
        <v>15.75</v>
      </c>
      <c r="G120" s="36">
        <f t="shared" si="31"/>
        <v>15.75</v>
      </c>
      <c r="H120" s="36">
        <f t="shared" si="32"/>
        <v>15.75</v>
      </c>
      <c r="I120" s="36">
        <f t="shared" si="33"/>
        <v>17.325000000000003</v>
      </c>
      <c r="J120" s="167">
        <f t="shared" si="30"/>
        <v>17.325000000000003</v>
      </c>
      <c r="K120" s="167">
        <f t="shared" si="23"/>
        <v>17.325000000000003</v>
      </c>
      <c r="L120" s="167">
        <f t="shared" si="34"/>
        <v>17.325000000000003</v>
      </c>
      <c r="M120" s="1248">
        <f t="shared" si="35"/>
        <v>17.325000000000003</v>
      </c>
      <c r="N120" s="194"/>
    </row>
    <row r="121" spans="1:14" ht="18" customHeight="1">
      <c r="A121" s="41">
        <v>36</v>
      </c>
      <c r="B121" s="50" t="s">
        <v>977</v>
      </c>
      <c r="C121" s="25" t="s">
        <v>88</v>
      </c>
      <c r="D121" s="36">
        <v>15.75</v>
      </c>
      <c r="E121" s="36">
        <v>15.75</v>
      </c>
      <c r="F121" s="36">
        <f t="shared" si="36"/>
        <v>15.75</v>
      </c>
      <c r="G121" s="36">
        <f t="shared" si="31"/>
        <v>15.75</v>
      </c>
      <c r="H121" s="36">
        <f t="shared" si="32"/>
        <v>15.75</v>
      </c>
      <c r="I121" s="36">
        <f>H121*1.1</f>
        <v>17.325000000000003</v>
      </c>
      <c r="J121" s="167">
        <f t="shared" si="30"/>
        <v>17.325000000000003</v>
      </c>
      <c r="K121" s="167">
        <f t="shared" si="23"/>
        <v>17.325000000000003</v>
      </c>
      <c r="L121" s="167">
        <f t="shared" si="34"/>
        <v>17.325000000000003</v>
      </c>
      <c r="M121" s="1248">
        <f t="shared" si="35"/>
        <v>17.325000000000003</v>
      </c>
      <c r="N121" s="194"/>
    </row>
    <row r="122" spans="1:14" ht="18" customHeight="1">
      <c r="A122" s="41">
        <v>37</v>
      </c>
      <c r="B122" s="50" t="s">
        <v>978</v>
      </c>
      <c r="C122" s="25" t="s">
        <v>88</v>
      </c>
      <c r="D122" s="36">
        <v>15.75</v>
      </c>
      <c r="E122" s="36">
        <v>15.75</v>
      </c>
      <c r="F122" s="36">
        <f t="shared" si="36"/>
        <v>15.75</v>
      </c>
      <c r="G122" s="36">
        <f t="shared" si="31"/>
        <v>15.75</v>
      </c>
      <c r="H122" s="36">
        <f t="shared" si="32"/>
        <v>15.75</v>
      </c>
      <c r="I122" s="36">
        <f t="shared" si="33"/>
        <v>17.325000000000003</v>
      </c>
      <c r="J122" s="167">
        <f t="shared" si="30"/>
        <v>17.325000000000003</v>
      </c>
      <c r="K122" s="167">
        <f t="shared" si="23"/>
        <v>17.325000000000003</v>
      </c>
      <c r="L122" s="167">
        <f t="shared" si="34"/>
        <v>17.325000000000003</v>
      </c>
      <c r="M122" s="1248">
        <f t="shared" si="35"/>
        <v>17.325000000000003</v>
      </c>
      <c r="N122" s="194"/>
    </row>
    <row r="123" spans="1:14" ht="18" customHeight="1">
      <c r="A123" s="41">
        <v>38</v>
      </c>
      <c r="B123" s="50" t="s">
        <v>979</v>
      </c>
      <c r="C123" s="25" t="s">
        <v>88</v>
      </c>
      <c r="D123" s="36">
        <v>21</v>
      </c>
      <c r="E123" s="36">
        <v>21</v>
      </c>
      <c r="F123" s="36">
        <f t="shared" si="36"/>
        <v>21</v>
      </c>
      <c r="G123" s="36">
        <f t="shared" si="31"/>
        <v>21</v>
      </c>
      <c r="H123" s="36">
        <f t="shared" si="32"/>
        <v>21</v>
      </c>
      <c r="I123" s="36">
        <f t="shared" si="33"/>
        <v>23.1</v>
      </c>
      <c r="J123" s="167">
        <f t="shared" si="30"/>
        <v>23.1</v>
      </c>
      <c r="K123" s="167">
        <f t="shared" si="23"/>
        <v>23.1</v>
      </c>
      <c r="L123" s="167">
        <f t="shared" si="34"/>
        <v>23.1</v>
      </c>
      <c r="M123" s="1248">
        <f t="shared" si="35"/>
        <v>23.1</v>
      </c>
      <c r="N123" s="194"/>
    </row>
    <row r="124" spans="1:14" ht="18" customHeight="1">
      <c r="A124" s="41">
        <v>39</v>
      </c>
      <c r="B124" s="50" t="s">
        <v>980</v>
      </c>
      <c r="C124" s="25" t="s">
        <v>88</v>
      </c>
      <c r="D124" s="36">
        <v>21</v>
      </c>
      <c r="E124" s="36">
        <v>21</v>
      </c>
      <c r="F124" s="36">
        <f t="shared" si="36"/>
        <v>21</v>
      </c>
      <c r="G124" s="36">
        <f t="shared" si="31"/>
        <v>21</v>
      </c>
      <c r="H124" s="36">
        <f t="shared" si="32"/>
        <v>21</v>
      </c>
      <c r="I124" s="36">
        <f t="shared" si="33"/>
        <v>23.1</v>
      </c>
      <c r="J124" s="167">
        <f t="shared" si="30"/>
        <v>23.1</v>
      </c>
      <c r="K124" s="167">
        <f t="shared" si="23"/>
        <v>23.1</v>
      </c>
      <c r="L124" s="167">
        <f t="shared" si="34"/>
        <v>23.1</v>
      </c>
      <c r="M124" s="1248">
        <f t="shared" si="35"/>
        <v>23.1</v>
      </c>
      <c r="N124" s="194"/>
    </row>
    <row r="125" spans="1:14" ht="18" customHeight="1">
      <c r="A125" s="41">
        <v>40</v>
      </c>
      <c r="B125" s="50" t="s">
        <v>981</v>
      </c>
      <c r="C125" s="25" t="s">
        <v>88</v>
      </c>
      <c r="D125" s="36">
        <v>26.25</v>
      </c>
      <c r="E125" s="36">
        <v>26.25</v>
      </c>
      <c r="F125" s="36">
        <f t="shared" si="36"/>
        <v>26.25</v>
      </c>
      <c r="G125" s="36">
        <f t="shared" si="31"/>
        <v>26.25</v>
      </c>
      <c r="H125" s="36">
        <f t="shared" si="32"/>
        <v>26.25</v>
      </c>
      <c r="I125" s="36">
        <f t="shared" si="33"/>
        <v>28.875000000000004</v>
      </c>
      <c r="J125" s="167">
        <f t="shared" si="30"/>
        <v>28.875000000000004</v>
      </c>
      <c r="K125" s="167">
        <f t="shared" si="23"/>
        <v>28.875000000000004</v>
      </c>
      <c r="L125" s="167">
        <f t="shared" si="34"/>
        <v>28.875000000000004</v>
      </c>
      <c r="M125" s="1248">
        <f t="shared" si="35"/>
        <v>28.875000000000004</v>
      </c>
      <c r="N125" s="194"/>
    </row>
    <row r="126" spans="1:14" ht="18" customHeight="1">
      <c r="A126" s="41">
        <v>41</v>
      </c>
      <c r="B126" s="50" t="s">
        <v>982</v>
      </c>
      <c r="C126" s="25" t="s">
        <v>88</v>
      </c>
      <c r="D126" s="36">
        <v>42</v>
      </c>
      <c r="E126" s="36">
        <v>42</v>
      </c>
      <c r="F126" s="36">
        <f t="shared" si="36"/>
        <v>42</v>
      </c>
      <c r="G126" s="36">
        <f t="shared" si="31"/>
        <v>42</v>
      </c>
      <c r="H126" s="36">
        <f t="shared" si="32"/>
        <v>42</v>
      </c>
      <c r="I126" s="36">
        <f t="shared" si="33"/>
        <v>46.2</v>
      </c>
      <c r="J126" s="167">
        <f t="shared" si="30"/>
        <v>46.2</v>
      </c>
      <c r="K126" s="167">
        <f t="shared" si="23"/>
        <v>46.2</v>
      </c>
      <c r="L126" s="167">
        <f t="shared" si="34"/>
        <v>46.2</v>
      </c>
      <c r="M126" s="1248">
        <f t="shared" si="35"/>
        <v>46.2</v>
      </c>
      <c r="N126" s="194"/>
    </row>
    <row r="127" spans="1:14" ht="18" customHeight="1">
      <c r="A127" s="41">
        <v>42</v>
      </c>
      <c r="B127" s="50" t="s">
        <v>983</v>
      </c>
      <c r="C127" s="25" t="s">
        <v>88</v>
      </c>
      <c r="D127" s="36">
        <v>21</v>
      </c>
      <c r="E127" s="36">
        <v>21</v>
      </c>
      <c r="F127" s="36">
        <f t="shared" si="36"/>
        <v>21</v>
      </c>
      <c r="G127" s="36">
        <f t="shared" si="31"/>
        <v>21</v>
      </c>
      <c r="H127" s="36">
        <f t="shared" si="32"/>
        <v>21</v>
      </c>
      <c r="I127" s="36">
        <f t="shared" si="33"/>
        <v>23.1</v>
      </c>
      <c r="J127" s="167">
        <f t="shared" si="30"/>
        <v>23.1</v>
      </c>
      <c r="K127" s="167">
        <f t="shared" si="23"/>
        <v>23.1</v>
      </c>
      <c r="L127" s="167">
        <f t="shared" si="34"/>
        <v>23.1</v>
      </c>
      <c r="M127" s="1248">
        <f t="shared" si="35"/>
        <v>23.1</v>
      </c>
      <c r="N127" s="194"/>
    </row>
    <row r="128" spans="1:14" ht="18" customHeight="1">
      <c r="A128" s="41">
        <v>43</v>
      </c>
      <c r="B128" s="50" t="s">
        <v>984</v>
      </c>
      <c r="C128" s="25" t="s">
        <v>88</v>
      </c>
      <c r="D128" s="36">
        <v>52.5</v>
      </c>
      <c r="E128" s="36">
        <v>52.5</v>
      </c>
      <c r="F128" s="36">
        <f t="shared" si="36"/>
        <v>52.5</v>
      </c>
      <c r="G128" s="36">
        <f t="shared" si="31"/>
        <v>52.5</v>
      </c>
      <c r="H128" s="36">
        <f t="shared" si="32"/>
        <v>52.5</v>
      </c>
      <c r="I128" s="36">
        <f t="shared" si="33"/>
        <v>57.750000000000007</v>
      </c>
      <c r="J128" s="167">
        <f t="shared" si="30"/>
        <v>57.750000000000007</v>
      </c>
      <c r="K128" s="167">
        <f t="shared" si="23"/>
        <v>57.750000000000007</v>
      </c>
      <c r="L128" s="167">
        <f t="shared" si="34"/>
        <v>57.750000000000007</v>
      </c>
      <c r="M128" s="1248">
        <f t="shared" si="35"/>
        <v>57.750000000000007</v>
      </c>
      <c r="N128" s="194"/>
    </row>
    <row r="129" spans="1:14" ht="18" customHeight="1">
      <c r="A129" s="41">
        <v>44</v>
      </c>
      <c r="B129" s="50" t="s">
        <v>985</v>
      </c>
      <c r="C129" s="25" t="s">
        <v>88</v>
      </c>
      <c r="D129" s="36">
        <v>31.5</v>
      </c>
      <c r="E129" s="36">
        <v>31.5</v>
      </c>
      <c r="F129" s="36">
        <f t="shared" si="36"/>
        <v>31.5</v>
      </c>
      <c r="G129" s="36">
        <f t="shared" si="31"/>
        <v>31.5</v>
      </c>
      <c r="H129" s="36">
        <f t="shared" si="32"/>
        <v>31.5</v>
      </c>
      <c r="I129" s="36">
        <f t="shared" si="33"/>
        <v>34.650000000000006</v>
      </c>
      <c r="J129" s="167">
        <f t="shared" si="30"/>
        <v>34.650000000000006</v>
      </c>
      <c r="K129" s="167">
        <f t="shared" si="23"/>
        <v>34.650000000000006</v>
      </c>
      <c r="L129" s="167">
        <f t="shared" si="34"/>
        <v>34.650000000000006</v>
      </c>
      <c r="M129" s="1248">
        <f t="shared" si="35"/>
        <v>34.650000000000006</v>
      </c>
      <c r="N129" s="194"/>
    </row>
    <row r="130" spans="1:14" ht="18" customHeight="1">
      <c r="A130" s="41">
        <v>45</v>
      </c>
      <c r="B130" s="50" t="s">
        <v>986</v>
      </c>
      <c r="C130" s="25" t="s">
        <v>88</v>
      </c>
      <c r="D130" s="36">
        <v>15.75</v>
      </c>
      <c r="E130" s="36">
        <v>15.75</v>
      </c>
      <c r="F130" s="36">
        <f t="shared" si="36"/>
        <v>15.75</v>
      </c>
      <c r="G130" s="36">
        <f t="shared" si="31"/>
        <v>15.75</v>
      </c>
      <c r="H130" s="36">
        <f t="shared" si="32"/>
        <v>15.75</v>
      </c>
      <c r="I130" s="36">
        <f t="shared" si="33"/>
        <v>17.325000000000003</v>
      </c>
      <c r="J130" s="167">
        <f t="shared" si="30"/>
        <v>17.325000000000003</v>
      </c>
      <c r="K130" s="167">
        <f t="shared" si="23"/>
        <v>17.325000000000003</v>
      </c>
      <c r="L130" s="167">
        <f t="shared" si="34"/>
        <v>17.325000000000003</v>
      </c>
      <c r="M130" s="1248">
        <f t="shared" si="35"/>
        <v>17.325000000000003</v>
      </c>
      <c r="N130" s="194"/>
    </row>
    <row r="131" spans="1:14" ht="18" customHeight="1">
      <c r="A131" s="41">
        <v>46</v>
      </c>
      <c r="B131" s="50" t="s">
        <v>987</v>
      </c>
      <c r="C131" s="25" t="s">
        <v>185</v>
      </c>
      <c r="D131" s="36">
        <v>273</v>
      </c>
      <c r="E131" s="36">
        <v>273</v>
      </c>
      <c r="F131" s="36">
        <f t="shared" si="36"/>
        <v>273</v>
      </c>
      <c r="G131" s="36">
        <f t="shared" si="31"/>
        <v>273</v>
      </c>
      <c r="H131" s="36">
        <f t="shared" si="32"/>
        <v>273</v>
      </c>
      <c r="I131" s="36">
        <f>H131*1.1</f>
        <v>300.3</v>
      </c>
      <c r="J131" s="167">
        <f t="shared" si="30"/>
        <v>300.3</v>
      </c>
      <c r="K131" s="167">
        <f t="shared" si="23"/>
        <v>300.3</v>
      </c>
      <c r="L131" s="167">
        <f>K131*102%</f>
        <v>306.30600000000004</v>
      </c>
      <c r="M131" s="1248">
        <f t="shared" si="35"/>
        <v>306.30600000000004</v>
      </c>
      <c r="N131" s="194"/>
    </row>
    <row r="132" spans="1:14" ht="18" customHeight="1">
      <c r="A132" s="41">
        <v>47</v>
      </c>
      <c r="B132" s="50" t="s">
        <v>988</v>
      </c>
      <c r="C132" s="25" t="s">
        <v>185</v>
      </c>
      <c r="D132" s="36">
        <v>273</v>
      </c>
      <c r="E132" s="36">
        <v>273</v>
      </c>
      <c r="F132" s="36">
        <f t="shared" si="36"/>
        <v>273</v>
      </c>
      <c r="G132" s="36">
        <f t="shared" si="31"/>
        <v>273</v>
      </c>
      <c r="H132" s="36">
        <f t="shared" si="32"/>
        <v>273</v>
      </c>
      <c r="I132" s="36">
        <f t="shared" si="33"/>
        <v>300.3</v>
      </c>
      <c r="J132" s="167">
        <f t="shared" si="30"/>
        <v>300.3</v>
      </c>
      <c r="K132" s="167">
        <f t="shared" si="23"/>
        <v>300.3</v>
      </c>
      <c r="L132" s="167">
        <f t="shared" ref="L132:L133" si="37">K132*102%</f>
        <v>306.30600000000004</v>
      </c>
      <c r="M132" s="1248">
        <f t="shared" si="35"/>
        <v>306.30600000000004</v>
      </c>
      <c r="N132" s="194"/>
    </row>
    <row r="133" spans="1:14" ht="18" customHeight="1">
      <c r="A133" s="41">
        <v>48</v>
      </c>
      <c r="B133" s="50" t="s">
        <v>989</v>
      </c>
      <c r="C133" s="25" t="s">
        <v>185</v>
      </c>
      <c r="D133" s="36">
        <v>273</v>
      </c>
      <c r="E133" s="36">
        <v>273</v>
      </c>
      <c r="F133" s="36">
        <f t="shared" si="36"/>
        <v>273</v>
      </c>
      <c r="G133" s="36">
        <f t="shared" si="31"/>
        <v>273</v>
      </c>
      <c r="H133" s="36">
        <f t="shared" si="32"/>
        <v>273</v>
      </c>
      <c r="I133" s="36">
        <f t="shared" si="33"/>
        <v>300.3</v>
      </c>
      <c r="J133" s="167">
        <f t="shared" si="30"/>
        <v>300.3</v>
      </c>
      <c r="K133" s="167">
        <f t="shared" si="23"/>
        <v>300.3</v>
      </c>
      <c r="L133" s="167">
        <f t="shared" si="37"/>
        <v>306.30600000000004</v>
      </c>
      <c r="M133" s="1248">
        <f t="shared" si="35"/>
        <v>306.30600000000004</v>
      </c>
      <c r="N133" s="194"/>
    </row>
    <row r="134" spans="1:14" ht="20.100000000000001" hidden="1" customHeight="1">
      <c r="A134" s="41">
        <v>49</v>
      </c>
      <c r="B134" s="50"/>
      <c r="C134" s="25"/>
      <c r="D134" s="36"/>
      <c r="E134" s="36"/>
      <c r="F134" s="36"/>
      <c r="G134" s="36"/>
      <c r="H134" s="36"/>
      <c r="I134" s="36"/>
      <c r="J134" s="167"/>
      <c r="K134" s="167">
        <f t="shared" si="23"/>
        <v>0</v>
      </c>
      <c r="L134" s="167">
        <f t="shared" si="34"/>
        <v>0</v>
      </c>
      <c r="M134" s="1248">
        <f t="shared" si="35"/>
        <v>0</v>
      </c>
      <c r="N134" s="194"/>
    </row>
    <row r="135" spans="1:14" ht="15.6" hidden="1" customHeight="1">
      <c r="A135" s="41">
        <v>50</v>
      </c>
      <c r="B135" s="50" t="s">
        <v>990</v>
      </c>
      <c r="C135" s="25" t="s">
        <v>88</v>
      </c>
      <c r="D135" s="36"/>
      <c r="E135" s="36"/>
      <c r="F135" s="36"/>
      <c r="G135" s="36"/>
      <c r="H135" s="36"/>
      <c r="I135" s="36"/>
      <c r="J135" s="167"/>
      <c r="K135" s="167">
        <f t="shared" ref="K135:K173" si="38">J135</f>
        <v>0</v>
      </c>
      <c r="L135" s="167">
        <f t="shared" si="34"/>
        <v>0</v>
      </c>
      <c r="M135" s="1248">
        <f t="shared" si="35"/>
        <v>0</v>
      </c>
      <c r="N135" s="194"/>
    </row>
    <row r="136" spans="1:14" ht="15.6" hidden="1" customHeight="1">
      <c r="A136" s="41">
        <v>51</v>
      </c>
      <c r="B136" s="50" t="s">
        <v>991</v>
      </c>
      <c r="C136" s="25" t="s">
        <v>992</v>
      </c>
      <c r="D136" s="36"/>
      <c r="E136" s="36"/>
      <c r="F136" s="36"/>
      <c r="G136" s="36"/>
      <c r="H136" s="36"/>
      <c r="I136" s="36"/>
      <c r="J136" s="167"/>
      <c r="K136" s="167">
        <f t="shared" si="38"/>
        <v>0</v>
      </c>
      <c r="L136" s="167">
        <f t="shared" si="34"/>
        <v>0</v>
      </c>
      <c r="M136" s="1248">
        <f t="shared" si="35"/>
        <v>0</v>
      </c>
      <c r="N136" s="194"/>
    </row>
    <row r="137" spans="1:14" ht="15.6" hidden="1" customHeight="1">
      <c r="A137" s="41">
        <v>52</v>
      </c>
      <c r="B137" s="50" t="s">
        <v>951</v>
      </c>
      <c r="C137" s="25" t="s">
        <v>88</v>
      </c>
      <c r="D137" s="36"/>
      <c r="E137" s="36"/>
      <c r="F137" s="36"/>
      <c r="G137" s="36"/>
      <c r="H137" s="36"/>
      <c r="I137" s="36"/>
      <c r="J137" s="167"/>
      <c r="K137" s="167">
        <f t="shared" si="38"/>
        <v>0</v>
      </c>
      <c r="L137" s="167">
        <f t="shared" si="34"/>
        <v>0</v>
      </c>
      <c r="M137" s="1248">
        <f t="shared" si="35"/>
        <v>0</v>
      </c>
      <c r="N137" s="194"/>
    </row>
    <row r="138" spans="1:14" ht="15.6" hidden="1" customHeight="1">
      <c r="A138" s="41">
        <v>53</v>
      </c>
      <c r="B138" s="50" t="s">
        <v>952</v>
      </c>
      <c r="C138" s="25" t="s">
        <v>88</v>
      </c>
      <c r="D138" s="36"/>
      <c r="E138" s="36"/>
      <c r="F138" s="36"/>
      <c r="G138" s="36"/>
      <c r="H138" s="36"/>
      <c r="I138" s="36"/>
      <c r="J138" s="167"/>
      <c r="K138" s="167">
        <f t="shared" si="38"/>
        <v>0</v>
      </c>
      <c r="L138" s="167">
        <f t="shared" si="34"/>
        <v>0</v>
      </c>
      <c r="M138" s="1248">
        <f t="shared" si="35"/>
        <v>0</v>
      </c>
      <c r="N138" s="194"/>
    </row>
    <row r="139" spans="1:14" ht="15.6" hidden="1" customHeight="1">
      <c r="A139" s="41">
        <v>54</v>
      </c>
      <c r="B139" s="50" t="s">
        <v>953</v>
      </c>
      <c r="C139" s="25" t="s">
        <v>88</v>
      </c>
      <c r="D139" s="36"/>
      <c r="E139" s="36"/>
      <c r="F139" s="36"/>
      <c r="G139" s="36"/>
      <c r="H139" s="36"/>
      <c r="I139" s="36"/>
      <c r="J139" s="167"/>
      <c r="K139" s="167">
        <f t="shared" si="38"/>
        <v>0</v>
      </c>
      <c r="L139" s="167">
        <f t="shared" si="34"/>
        <v>0</v>
      </c>
      <c r="M139" s="1248">
        <f t="shared" si="35"/>
        <v>0</v>
      </c>
      <c r="N139" s="194"/>
    </row>
    <row r="140" spans="1:14" ht="15.6" hidden="1" customHeight="1">
      <c r="A140" s="41">
        <v>55</v>
      </c>
      <c r="B140" s="50" t="s">
        <v>954</v>
      </c>
      <c r="C140" s="25" t="s">
        <v>88</v>
      </c>
      <c r="D140" s="36"/>
      <c r="E140" s="36"/>
      <c r="F140" s="36"/>
      <c r="G140" s="36"/>
      <c r="H140" s="36"/>
      <c r="I140" s="36"/>
      <c r="J140" s="167"/>
      <c r="K140" s="167">
        <f t="shared" si="38"/>
        <v>0</v>
      </c>
      <c r="L140" s="167">
        <f t="shared" si="34"/>
        <v>0</v>
      </c>
      <c r="M140" s="1248">
        <f t="shared" si="35"/>
        <v>0</v>
      </c>
      <c r="N140" s="194"/>
    </row>
    <row r="141" spans="1:14" ht="15.6" hidden="1" customHeight="1">
      <c r="A141" s="41">
        <v>56</v>
      </c>
      <c r="B141" s="50" t="s">
        <v>955</v>
      </c>
      <c r="C141" s="25" t="s">
        <v>88</v>
      </c>
      <c r="D141" s="36"/>
      <c r="E141" s="36"/>
      <c r="F141" s="36"/>
      <c r="G141" s="36"/>
      <c r="H141" s="36"/>
      <c r="I141" s="36"/>
      <c r="J141" s="167"/>
      <c r="K141" s="167">
        <f t="shared" si="38"/>
        <v>0</v>
      </c>
      <c r="L141" s="167">
        <f t="shared" si="34"/>
        <v>0</v>
      </c>
      <c r="M141" s="1248">
        <f t="shared" si="35"/>
        <v>0</v>
      </c>
      <c r="N141" s="194"/>
    </row>
    <row r="142" spans="1:14" ht="15.6" hidden="1" customHeight="1">
      <c r="A142" s="41">
        <v>57</v>
      </c>
      <c r="B142" s="50" t="s">
        <v>956</v>
      </c>
      <c r="C142" s="25" t="s">
        <v>88</v>
      </c>
      <c r="D142" s="36"/>
      <c r="E142" s="36"/>
      <c r="F142" s="36"/>
      <c r="G142" s="36"/>
      <c r="H142" s="36"/>
      <c r="I142" s="36"/>
      <c r="J142" s="167"/>
      <c r="K142" s="167">
        <f t="shared" si="38"/>
        <v>0</v>
      </c>
      <c r="L142" s="167">
        <f t="shared" si="34"/>
        <v>0</v>
      </c>
      <c r="M142" s="1248">
        <f t="shared" si="35"/>
        <v>0</v>
      </c>
      <c r="N142" s="194"/>
    </row>
    <row r="143" spans="1:14" ht="15.6" hidden="1" customHeight="1">
      <c r="A143" s="41">
        <v>58</v>
      </c>
      <c r="B143" s="50" t="s">
        <v>993</v>
      </c>
      <c r="C143" s="25" t="s">
        <v>88</v>
      </c>
      <c r="D143" s="36"/>
      <c r="E143" s="36"/>
      <c r="F143" s="36"/>
      <c r="G143" s="36"/>
      <c r="H143" s="36"/>
      <c r="I143" s="36"/>
      <c r="J143" s="167"/>
      <c r="K143" s="167">
        <f t="shared" si="38"/>
        <v>0</v>
      </c>
      <c r="L143" s="167">
        <f t="shared" si="34"/>
        <v>0</v>
      </c>
      <c r="M143" s="1248">
        <f t="shared" si="35"/>
        <v>0</v>
      </c>
      <c r="N143" s="194"/>
    </row>
    <row r="144" spans="1:14" ht="15.6" hidden="1" customHeight="1">
      <c r="A144" s="41">
        <v>59</v>
      </c>
      <c r="B144" s="50" t="s">
        <v>958</v>
      </c>
      <c r="C144" s="25" t="s">
        <v>88</v>
      </c>
      <c r="D144" s="36"/>
      <c r="E144" s="36"/>
      <c r="F144" s="36"/>
      <c r="G144" s="36"/>
      <c r="H144" s="36"/>
      <c r="I144" s="36"/>
      <c r="J144" s="167"/>
      <c r="K144" s="167">
        <f t="shared" si="38"/>
        <v>0</v>
      </c>
      <c r="L144" s="167">
        <f t="shared" si="34"/>
        <v>0</v>
      </c>
      <c r="M144" s="1248">
        <f t="shared" si="35"/>
        <v>0</v>
      </c>
      <c r="N144" s="194"/>
    </row>
    <row r="145" spans="1:14" ht="15.6" hidden="1" customHeight="1">
      <c r="A145" s="41">
        <v>60</v>
      </c>
      <c r="B145" s="50" t="s">
        <v>994</v>
      </c>
      <c r="C145" s="25" t="s">
        <v>88</v>
      </c>
      <c r="D145" s="36"/>
      <c r="E145" s="36"/>
      <c r="F145" s="36"/>
      <c r="G145" s="36"/>
      <c r="H145" s="36"/>
      <c r="I145" s="36"/>
      <c r="J145" s="167"/>
      <c r="K145" s="167">
        <f t="shared" si="38"/>
        <v>0</v>
      </c>
      <c r="L145" s="167">
        <f t="shared" si="34"/>
        <v>0</v>
      </c>
      <c r="M145" s="1248">
        <f t="shared" si="35"/>
        <v>0</v>
      </c>
      <c r="N145" s="194"/>
    </row>
    <row r="146" spans="1:14" ht="15.6" hidden="1" customHeight="1">
      <c r="A146" s="41">
        <v>61</v>
      </c>
      <c r="B146" s="50" t="s">
        <v>960</v>
      </c>
      <c r="C146" s="25" t="s">
        <v>88</v>
      </c>
      <c r="D146" s="36"/>
      <c r="E146" s="36"/>
      <c r="F146" s="36"/>
      <c r="G146" s="36"/>
      <c r="H146" s="36"/>
      <c r="I146" s="36"/>
      <c r="J146" s="167"/>
      <c r="K146" s="167">
        <f t="shared" si="38"/>
        <v>0</v>
      </c>
      <c r="L146" s="167">
        <f t="shared" si="34"/>
        <v>0</v>
      </c>
      <c r="M146" s="1248">
        <f t="shared" si="35"/>
        <v>0</v>
      </c>
      <c r="N146" s="194"/>
    </row>
    <row r="147" spans="1:14" ht="15.6" hidden="1" customHeight="1">
      <c r="A147" s="41">
        <v>62</v>
      </c>
      <c r="B147" s="50" t="s">
        <v>961</v>
      </c>
      <c r="C147" s="25" t="s">
        <v>88</v>
      </c>
      <c r="D147" s="36"/>
      <c r="E147" s="36"/>
      <c r="F147" s="36"/>
      <c r="G147" s="36"/>
      <c r="H147" s="36"/>
      <c r="I147" s="36"/>
      <c r="J147" s="167"/>
      <c r="K147" s="167">
        <f t="shared" si="38"/>
        <v>0</v>
      </c>
      <c r="L147" s="167">
        <f t="shared" si="34"/>
        <v>0</v>
      </c>
      <c r="M147" s="1248">
        <f t="shared" si="35"/>
        <v>0</v>
      </c>
      <c r="N147" s="194"/>
    </row>
    <row r="148" spans="1:14" ht="15.6" hidden="1" customHeight="1">
      <c r="A148" s="41">
        <v>63</v>
      </c>
      <c r="B148" s="50" t="s">
        <v>962</v>
      </c>
      <c r="C148" s="25" t="s">
        <v>88</v>
      </c>
      <c r="D148" s="36"/>
      <c r="E148" s="36"/>
      <c r="F148" s="36"/>
      <c r="G148" s="36"/>
      <c r="H148" s="36"/>
      <c r="I148" s="36"/>
      <c r="J148" s="167"/>
      <c r="K148" s="167">
        <f t="shared" si="38"/>
        <v>0</v>
      </c>
      <c r="L148" s="167">
        <f t="shared" si="34"/>
        <v>0</v>
      </c>
      <c r="M148" s="1248">
        <f t="shared" si="35"/>
        <v>0</v>
      </c>
      <c r="N148" s="194"/>
    </row>
    <row r="149" spans="1:14" ht="15.6" hidden="1" customHeight="1">
      <c r="A149" s="41">
        <v>64</v>
      </c>
      <c r="B149" s="50" t="s">
        <v>995</v>
      </c>
      <c r="C149" s="25" t="s">
        <v>88</v>
      </c>
      <c r="D149" s="36"/>
      <c r="E149" s="36"/>
      <c r="F149" s="36"/>
      <c r="G149" s="36"/>
      <c r="H149" s="36"/>
      <c r="I149" s="36"/>
      <c r="J149" s="167"/>
      <c r="K149" s="167">
        <f t="shared" si="38"/>
        <v>0</v>
      </c>
      <c r="L149" s="167">
        <f t="shared" si="34"/>
        <v>0</v>
      </c>
      <c r="M149" s="1248">
        <f t="shared" si="35"/>
        <v>0</v>
      </c>
      <c r="N149" s="194"/>
    </row>
    <row r="150" spans="1:14" ht="15.6" hidden="1" customHeight="1">
      <c r="A150" s="41">
        <v>65</v>
      </c>
      <c r="B150" s="50" t="s">
        <v>996</v>
      </c>
      <c r="C150" s="25" t="s">
        <v>88</v>
      </c>
      <c r="D150" s="36"/>
      <c r="E150" s="36"/>
      <c r="F150" s="36"/>
      <c r="G150" s="36"/>
      <c r="H150" s="36"/>
      <c r="I150" s="36"/>
      <c r="J150" s="167"/>
      <c r="K150" s="167">
        <f t="shared" si="38"/>
        <v>0</v>
      </c>
      <c r="L150" s="167">
        <f t="shared" si="34"/>
        <v>0</v>
      </c>
      <c r="M150" s="1248">
        <f t="shared" si="35"/>
        <v>0</v>
      </c>
      <c r="N150" s="194"/>
    </row>
    <row r="151" spans="1:14" ht="15.6" hidden="1" customHeight="1">
      <c r="A151" s="41">
        <v>66</v>
      </c>
      <c r="B151" s="50" t="s">
        <v>965</v>
      </c>
      <c r="C151" s="25" t="s">
        <v>88</v>
      </c>
      <c r="D151" s="36"/>
      <c r="E151" s="36"/>
      <c r="F151" s="36"/>
      <c r="G151" s="36"/>
      <c r="H151" s="36"/>
      <c r="I151" s="36"/>
      <c r="J151" s="167"/>
      <c r="K151" s="167">
        <f t="shared" si="38"/>
        <v>0</v>
      </c>
      <c r="L151" s="167">
        <f t="shared" si="34"/>
        <v>0</v>
      </c>
      <c r="M151" s="1248">
        <f t="shared" si="35"/>
        <v>0</v>
      </c>
      <c r="N151" s="194"/>
    </row>
    <row r="152" spans="1:14" ht="15.6" hidden="1" customHeight="1">
      <c r="A152" s="41">
        <v>67</v>
      </c>
      <c r="B152" s="50" t="s">
        <v>966</v>
      </c>
      <c r="C152" s="25" t="s">
        <v>88</v>
      </c>
      <c r="D152" s="36"/>
      <c r="E152" s="36"/>
      <c r="F152" s="36"/>
      <c r="G152" s="36"/>
      <c r="H152" s="36"/>
      <c r="I152" s="36"/>
      <c r="J152" s="167"/>
      <c r="K152" s="167">
        <f t="shared" si="38"/>
        <v>0</v>
      </c>
      <c r="L152" s="167">
        <f t="shared" si="34"/>
        <v>0</v>
      </c>
      <c r="M152" s="1248">
        <f t="shared" si="35"/>
        <v>0</v>
      </c>
      <c r="N152" s="194"/>
    </row>
    <row r="153" spans="1:14" ht="15.6" hidden="1" customHeight="1">
      <c r="A153" s="41">
        <v>68</v>
      </c>
      <c r="B153" s="50" t="s">
        <v>997</v>
      </c>
      <c r="C153" s="25" t="s">
        <v>88</v>
      </c>
      <c r="D153" s="36"/>
      <c r="E153" s="36"/>
      <c r="F153" s="36"/>
      <c r="G153" s="36"/>
      <c r="H153" s="36"/>
      <c r="I153" s="36"/>
      <c r="J153" s="167"/>
      <c r="K153" s="167">
        <f t="shared" si="38"/>
        <v>0</v>
      </c>
      <c r="L153" s="167">
        <f t="shared" si="34"/>
        <v>0</v>
      </c>
      <c r="M153" s="1248">
        <f t="shared" si="35"/>
        <v>0</v>
      </c>
      <c r="N153" s="194"/>
    </row>
    <row r="154" spans="1:14" ht="15.6" hidden="1" customHeight="1">
      <c r="A154" s="41">
        <v>69</v>
      </c>
      <c r="B154" s="50" t="s">
        <v>998</v>
      </c>
      <c r="C154" s="25" t="s">
        <v>88</v>
      </c>
      <c r="D154" s="36"/>
      <c r="E154" s="36"/>
      <c r="F154" s="36"/>
      <c r="G154" s="36"/>
      <c r="H154" s="36"/>
      <c r="I154" s="36"/>
      <c r="J154" s="167"/>
      <c r="K154" s="167">
        <f t="shared" si="38"/>
        <v>0</v>
      </c>
      <c r="L154" s="167">
        <f t="shared" si="34"/>
        <v>0</v>
      </c>
      <c r="M154" s="1248">
        <f t="shared" si="35"/>
        <v>0</v>
      </c>
      <c r="N154" s="194"/>
    </row>
    <row r="155" spans="1:14" ht="15.6" hidden="1" customHeight="1">
      <c r="A155" s="41">
        <v>70</v>
      </c>
      <c r="B155" s="50" t="s">
        <v>999</v>
      </c>
      <c r="C155" s="25" t="s">
        <v>88</v>
      </c>
      <c r="D155" s="36"/>
      <c r="E155" s="36"/>
      <c r="F155" s="36"/>
      <c r="G155" s="36"/>
      <c r="H155" s="36"/>
      <c r="I155" s="36"/>
      <c r="J155" s="167"/>
      <c r="K155" s="167">
        <f t="shared" si="38"/>
        <v>0</v>
      </c>
      <c r="L155" s="167">
        <f t="shared" ref="L155:L167" si="39">K155</f>
        <v>0</v>
      </c>
      <c r="M155" s="1248">
        <f t="shared" ref="M155:M167" si="40">L155</f>
        <v>0</v>
      </c>
      <c r="N155" s="194"/>
    </row>
    <row r="156" spans="1:14" ht="15.6" hidden="1" customHeight="1">
      <c r="A156" s="41">
        <v>71</v>
      </c>
      <c r="B156" s="50" t="s">
        <v>1000</v>
      </c>
      <c r="C156" s="25" t="s">
        <v>88</v>
      </c>
      <c r="D156" s="36"/>
      <c r="E156" s="36"/>
      <c r="F156" s="36"/>
      <c r="G156" s="36"/>
      <c r="H156" s="36"/>
      <c r="I156" s="36"/>
      <c r="J156" s="167"/>
      <c r="K156" s="167">
        <f t="shared" si="38"/>
        <v>0</v>
      </c>
      <c r="L156" s="167">
        <f t="shared" si="39"/>
        <v>0</v>
      </c>
      <c r="M156" s="1248">
        <f t="shared" si="40"/>
        <v>0</v>
      </c>
      <c r="N156" s="194"/>
    </row>
    <row r="157" spans="1:14" ht="15.6" hidden="1" customHeight="1">
      <c r="A157" s="41">
        <v>72</v>
      </c>
      <c r="B157" s="50" t="s">
        <v>970</v>
      </c>
      <c r="C157" s="25" t="s">
        <v>88</v>
      </c>
      <c r="D157" s="36"/>
      <c r="E157" s="36"/>
      <c r="F157" s="36"/>
      <c r="G157" s="36"/>
      <c r="H157" s="36"/>
      <c r="I157" s="36"/>
      <c r="J157" s="167"/>
      <c r="K157" s="167">
        <f t="shared" si="38"/>
        <v>0</v>
      </c>
      <c r="L157" s="167">
        <f t="shared" si="39"/>
        <v>0</v>
      </c>
      <c r="M157" s="1248">
        <f t="shared" si="40"/>
        <v>0</v>
      </c>
      <c r="N157" s="194"/>
    </row>
    <row r="158" spans="1:14" ht="15.6" hidden="1" customHeight="1">
      <c r="A158" s="41">
        <v>73</v>
      </c>
      <c r="B158" s="50" t="s">
        <v>1001</v>
      </c>
      <c r="C158" s="25" t="s">
        <v>88</v>
      </c>
      <c r="D158" s="36"/>
      <c r="E158" s="36"/>
      <c r="F158" s="36"/>
      <c r="G158" s="36"/>
      <c r="H158" s="36"/>
      <c r="I158" s="36"/>
      <c r="J158" s="167"/>
      <c r="K158" s="167">
        <f t="shared" si="38"/>
        <v>0</v>
      </c>
      <c r="L158" s="167">
        <f t="shared" si="39"/>
        <v>0</v>
      </c>
      <c r="M158" s="1248">
        <f t="shared" si="40"/>
        <v>0</v>
      </c>
      <c r="N158" s="194"/>
    </row>
    <row r="159" spans="1:14" ht="15.6" hidden="1" customHeight="1">
      <c r="A159" s="41">
        <v>74</v>
      </c>
      <c r="B159" s="50" t="s">
        <v>1002</v>
      </c>
      <c r="C159" s="25" t="s">
        <v>88</v>
      </c>
      <c r="D159" s="36"/>
      <c r="E159" s="36"/>
      <c r="F159" s="36"/>
      <c r="G159" s="36"/>
      <c r="H159" s="36"/>
      <c r="I159" s="36"/>
      <c r="J159" s="167"/>
      <c r="K159" s="167">
        <f t="shared" si="38"/>
        <v>0</v>
      </c>
      <c r="L159" s="167">
        <f t="shared" si="39"/>
        <v>0</v>
      </c>
      <c r="M159" s="1248">
        <f t="shared" si="40"/>
        <v>0</v>
      </c>
      <c r="N159" s="194"/>
    </row>
    <row r="160" spans="1:14" ht="16.149999999999999" hidden="1" customHeight="1" thickBot="1">
      <c r="A160" s="41">
        <v>75</v>
      </c>
      <c r="B160" s="50" t="s">
        <v>1003</v>
      </c>
      <c r="C160" s="25" t="s">
        <v>88</v>
      </c>
      <c r="D160" s="36"/>
      <c r="E160" s="36"/>
      <c r="F160" s="36"/>
      <c r="G160" s="36"/>
      <c r="H160" s="36"/>
      <c r="I160" s="36"/>
      <c r="J160" s="167"/>
      <c r="K160" s="167">
        <f t="shared" si="38"/>
        <v>0</v>
      </c>
      <c r="L160" s="167">
        <f t="shared" si="39"/>
        <v>0</v>
      </c>
      <c r="M160" s="1248">
        <f t="shared" si="40"/>
        <v>0</v>
      </c>
      <c r="N160" s="194"/>
    </row>
    <row r="161" spans="1:15">
      <c r="A161" s="41">
        <v>49</v>
      </c>
      <c r="B161" s="50" t="s">
        <v>1730</v>
      </c>
      <c r="C161" s="25" t="s">
        <v>88</v>
      </c>
      <c r="D161" s="36"/>
      <c r="E161" s="36"/>
      <c r="F161" s="36"/>
      <c r="G161" s="36"/>
      <c r="H161" s="36"/>
      <c r="I161" s="36"/>
      <c r="J161" s="167">
        <v>100</v>
      </c>
      <c r="K161" s="167">
        <f t="shared" si="38"/>
        <v>100</v>
      </c>
      <c r="L161" s="167">
        <f t="shared" si="39"/>
        <v>100</v>
      </c>
      <c r="M161" s="1248">
        <f t="shared" si="40"/>
        <v>100</v>
      </c>
      <c r="N161" s="194"/>
    </row>
    <row r="162" spans="1:15">
      <c r="A162" s="41">
        <v>50</v>
      </c>
      <c r="B162" s="50" t="s">
        <v>1731</v>
      </c>
      <c r="C162" s="25" t="s">
        <v>88</v>
      </c>
      <c r="D162" s="36"/>
      <c r="E162" s="36"/>
      <c r="F162" s="36"/>
      <c r="G162" s="36"/>
      <c r="H162" s="36"/>
      <c r="I162" s="36"/>
      <c r="J162" s="167">
        <v>50</v>
      </c>
      <c r="K162" s="167">
        <f t="shared" si="38"/>
        <v>50</v>
      </c>
      <c r="L162" s="167">
        <f t="shared" si="39"/>
        <v>50</v>
      </c>
      <c r="M162" s="1248">
        <f t="shared" si="40"/>
        <v>50</v>
      </c>
      <c r="N162" s="194"/>
      <c r="O162" s="1018" t="s">
        <v>2483</v>
      </c>
    </row>
    <row r="163" spans="1:15">
      <c r="A163" s="41">
        <v>51</v>
      </c>
      <c r="B163" s="50" t="s">
        <v>1732</v>
      </c>
      <c r="C163" s="25" t="s">
        <v>88</v>
      </c>
      <c r="D163" s="36"/>
      <c r="E163" s="36"/>
      <c r="F163" s="36"/>
      <c r="G163" s="36"/>
      <c r="H163" s="36"/>
      <c r="I163" s="36"/>
      <c r="J163" s="167">
        <v>200</v>
      </c>
      <c r="K163" s="167">
        <f t="shared" si="38"/>
        <v>200</v>
      </c>
      <c r="L163" s="167">
        <f t="shared" si="39"/>
        <v>200</v>
      </c>
      <c r="M163" s="1248">
        <f t="shared" si="40"/>
        <v>200</v>
      </c>
      <c r="N163" s="194"/>
      <c r="O163" s="1019">
        <v>250</v>
      </c>
    </row>
    <row r="164" spans="1:15">
      <c r="A164" s="41">
        <v>52</v>
      </c>
      <c r="B164" s="50" t="s">
        <v>1733</v>
      </c>
      <c r="C164" s="25" t="s">
        <v>88</v>
      </c>
      <c r="D164" s="36"/>
      <c r="E164" s="36"/>
      <c r="F164" s="36"/>
      <c r="G164" s="36"/>
      <c r="H164" s="36"/>
      <c r="I164" s="36"/>
      <c r="J164" s="167">
        <v>150</v>
      </c>
      <c r="K164" s="167">
        <f t="shared" si="38"/>
        <v>150</v>
      </c>
      <c r="L164" s="167">
        <f t="shared" si="39"/>
        <v>150</v>
      </c>
      <c r="M164" s="1248">
        <f t="shared" si="40"/>
        <v>150</v>
      </c>
      <c r="N164" s="194"/>
      <c r="O164" s="1019">
        <v>200</v>
      </c>
    </row>
    <row r="165" spans="1:15">
      <c r="A165" s="41">
        <v>53</v>
      </c>
      <c r="B165" s="50" t="s">
        <v>1734</v>
      </c>
      <c r="C165" s="25" t="s">
        <v>88</v>
      </c>
      <c r="D165" s="36"/>
      <c r="E165" s="36"/>
      <c r="F165" s="36"/>
      <c r="G165" s="36"/>
      <c r="H165" s="36"/>
      <c r="I165" s="36"/>
      <c r="J165" s="167">
        <v>25</v>
      </c>
      <c r="K165" s="167">
        <f t="shared" si="38"/>
        <v>25</v>
      </c>
      <c r="L165" s="167">
        <f t="shared" si="39"/>
        <v>25</v>
      </c>
      <c r="M165" s="1248">
        <f t="shared" si="40"/>
        <v>25</v>
      </c>
      <c r="N165" s="194"/>
    </row>
    <row r="166" spans="1:15">
      <c r="A166" s="41">
        <v>54</v>
      </c>
      <c r="B166" s="50" t="s">
        <v>1735</v>
      </c>
      <c r="C166" s="25" t="s">
        <v>88</v>
      </c>
      <c r="D166" s="36"/>
      <c r="E166" s="36"/>
      <c r="F166" s="36"/>
      <c r="G166" s="36"/>
      <c r="H166" s="36"/>
      <c r="I166" s="36"/>
      <c r="J166" s="167">
        <v>200</v>
      </c>
      <c r="K166" s="167">
        <f t="shared" si="38"/>
        <v>200</v>
      </c>
      <c r="L166" s="167">
        <f t="shared" si="39"/>
        <v>200</v>
      </c>
      <c r="M166" s="1248">
        <f t="shared" si="40"/>
        <v>200</v>
      </c>
      <c r="N166" s="194"/>
    </row>
    <row r="167" spans="1:15" ht="30">
      <c r="A167" s="41">
        <v>55</v>
      </c>
      <c r="B167" s="71" t="s">
        <v>1736</v>
      </c>
      <c r="C167" s="25" t="s">
        <v>88</v>
      </c>
      <c r="D167" s="36"/>
      <c r="E167" s="36"/>
      <c r="F167" s="36"/>
      <c r="G167" s="36"/>
      <c r="H167" s="36"/>
      <c r="I167" s="36"/>
      <c r="J167" s="167">
        <v>150</v>
      </c>
      <c r="K167" s="167">
        <f t="shared" si="38"/>
        <v>150</v>
      </c>
      <c r="L167" s="167">
        <f t="shared" si="39"/>
        <v>150</v>
      </c>
      <c r="M167" s="1248">
        <f t="shared" si="40"/>
        <v>150</v>
      </c>
      <c r="N167" s="194"/>
    </row>
    <row r="168" spans="1:15">
      <c r="A168" s="41"/>
      <c r="B168" s="50"/>
      <c r="C168" s="25"/>
      <c r="D168" s="36"/>
      <c r="E168" s="36"/>
      <c r="F168" s="36"/>
      <c r="G168" s="36"/>
      <c r="H168" s="36"/>
      <c r="I168" s="36"/>
      <c r="J168" s="167"/>
      <c r="K168" s="167"/>
      <c r="L168" s="167"/>
      <c r="M168" s="1248"/>
      <c r="N168" s="194"/>
    </row>
    <row r="169" spans="1:15" ht="30">
      <c r="A169" s="1135" t="s">
        <v>1737</v>
      </c>
      <c r="B169" s="697" t="s">
        <v>1738</v>
      </c>
      <c r="C169" s="606"/>
      <c r="D169" s="695"/>
      <c r="E169" s="695"/>
      <c r="F169" s="695"/>
      <c r="G169" s="695"/>
      <c r="H169" s="695"/>
      <c r="I169" s="695"/>
      <c r="J169" s="694"/>
      <c r="K169" s="694"/>
      <c r="L169" s="694"/>
      <c r="M169" s="1249"/>
      <c r="N169" s="658"/>
    </row>
    <row r="170" spans="1:15" ht="19.5">
      <c r="A170" s="1136"/>
      <c r="B170" s="277" t="s">
        <v>2617</v>
      </c>
      <c r="C170" s="276" t="s">
        <v>2623</v>
      </c>
      <c r="D170" s="34"/>
      <c r="E170" s="34"/>
      <c r="F170" s="34"/>
      <c r="G170" s="34"/>
      <c r="H170" s="34"/>
      <c r="I170" s="34"/>
      <c r="J170" s="167">
        <v>27</v>
      </c>
      <c r="K170" s="167">
        <v>29</v>
      </c>
      <c r="L170" s="167">
        <f>K170*(100%+$P$3*$Q$3)</f>
        <v>29.405999999999999</v>
      </c>
      <c r="M170" s="167">
        <f>L170*(100%+$P$4*$Q$4)</f>
        <v>30.435209999999998</v>
      </c>
      <c r="N170" s="194"/>
    </row>
    <row r="171" spans="1:15" ht="19.5">
      <c r="A171" s="1136"/>
      <c r="B171" s="277" t="s">
        <v>2618</v>
      </c>
      <c r="C171" s="276" t="s">
        <v>2623</v>
      </c>
      <c r="D171" s="34"/>
      <c r="E171" s="34"/>
      <c r="F171" s="34"/>
      <c r="G171" s="34"/>
      <c r="H171" s="34"/>
      <c r="I171" s="34"/>
      <c r="J171" s="167">
        <v>24.5</v>
      </c>
      <c r="K171" s="167">
        <f>K7</f>
        <v>26</v>
      </c>
      <c r="L171" s="167">
        <f t="shared" ref="L171:L176" si="41">K171*(100%+$P$3*$Q$3)</f>
        <v>26.364000000000001</v>
      </c>
      <c r="M171" s="167">
        <f t="shared" ref="M171:M176" si="42">L171*(100%+$P$4*$Q$4)</f>
        <v>27.286739999999998</v>
      </c>
      <c r="N171" s="194"/>
    </row>
    <row r="172" spans="1:15" ht="19.5">
      <c r="A172" s="1136"/>
      <c r="B172" s="277" t="s">
        <v>2619</v>
      </c>
      <c r="C172" s="276" t="s">
        <v>2623</v>
      </c>
      <c r="D172" s="34"/>
      <c r="E172" s="34"/>
      <c r="F172" s="34"/>
      <c r="G172" s="34"/>
      <c r="H172" s="34"/>
      <c r="I172" s="34"/>
      <c r="J172" s="167">
        <v>22.5</v>
      </c>
      <c r="K172" s="167">
        <f>K8</f>
        <v>23</v>
      </c>
      <c r="L172" s="167">
        <f t="shared" si="41"/>
        <v>23.321999999999999</v>
      </c>
      <c r="M172" s="167">
        <f t="shared" si="42"/>
        <v>24.138269999999999</v>
      </c>
      <c r="N172" s="194"/>
    </row>
    <row r="173" spans="1:15" ht="19.5">
      <c r="A173" s="1136"/>
      <c r="B173" s="277" t="s">
        <v>2620</v>
      </c>
      <c r="C173" s="276" t="s">
        <v>2623</v>
      </c>
      <c r="D173" s="34"/>
      <c r="E173" s="34"/>
      <c r="F173" s="34"/>
      <c r="G173" s="34"/>
      <c r="H173" s="34"/>
      <c r="I173" s="34"/>
      <c r="J173" s="167">
        <v>7</v>
      </c>
      <c r="K173" s="167">
        <f t="shared" si="38"/>
        <v>7</v>
      </c>
      <c r="L173" s="167">
        <f t="shared" si="41"/>
        <v>7.0979999999999999</v>
      </c>
      <c r="M173" s="167">
        <f t="shared" si="42"/>
        <v>7.3464299999999989</v>
      </c>
      <c r="N173" s="194"/>
    </row>
    <row r="174" spans="1:15" ht="19.5">
      <c r="A174" s="1136"/>
      <c r="B174" s="277" t="s">
        <v>2621</v>
      </c>
      <c r="C174" s="276" t="s">
        <v>2623</v>
      </c>
      <c r="D174" s="34"/>
      <c r="E174" s="34"/>
      <c r="F174" s="34"/>
      <c r="G174" s="34"/>
      <c r="H174" s="34"/>
      <c r="I174" s="34"/>
      <c r="J174" s="167">
        <v>3.85</v>
      </c>
      <c r="K174" s="167">
        <f>K10</f>
        <v>4</v>
      </c>
      <c r="L174" s="167">
        <f t="shared" si="41"/>
        <v>4.056</v>
      </c>
      <c r="M174" s="167">
        <f t="shared" si="42"/>
        <v>4.1979600000000001</v>
      </c>
      <c r="N174" s="194"/>
    </row>
    <row r="175" spans="1:15" ht="19.5">
      <c r="A175" s="1136"/>
      <c r="B175" s="277" t="s">
        <v>2622</v>
      </c>
      <c r="C175" s="276" t="s">
        <v>2623</v>
      </c>
      <c r="D175" s="34"/>
      <c r="E175" s="34"/>
      <c r="F175" s="34"/>
      <c r="G175" s="34"/>
      <c r="H175" s="34"/>
      <c r="I175" s="34"/>
      <c r="J175" s="167">
        <v>8.25</v>
      </c>
      <c r="K175" s="167">
        <f t="shared" ref="K175:K176" si="43">K11</f>
        <v>9</v>
      </c>
      <c r="L175" s="167">
        <f t="shared" si="41"/>
        <v>9.1259999999999994</v>
      </c>
      <c r="M175" s="167">
        <f t="shared" si="42"/>
        <v>9.445409999999999</v>
      </c>
      <c r="N175" s="194"/>
    </row>
    <row r="176" spans="1:15" ht="19.5">
      <c r="A176" s="437"/>
      <c r="B176" s="277" t="s">
        <v>2616</v>
      </c>
      <c r="C176" s="276" t="s">
        <v>2623</v>
      </c>
      <c r="D176" s="260"/>
      <c r="E176" s="260"/>
      <c r="F176" s="260"/>
      <c r="G176" s="260"/>
      <c r="H176" s="260"/>
      <c r="I176" s="260"/>
      <c r="J176" s="1271">
        <v>8.25</v>
      </c>
      <c r="K176" s="1271">
        <f t="shared" si="43"/>
        <v>8.5</v>
      </c>
      <c r="L176" s="1271">
        <f t="shared" si="41"/>
        <v>8.6189999999999998</v>
      </c>
      <c r="M176" s="1271">
        <f t="shared" si="42"/>
        <v>8.9206649999999996</v>
      </c>
      <c r="N176" s="1272"/>
    </row>
    <row r="177" spans="1:14" ht="19.5">
      <c r="A177" s="1569" t="s">
        <v>2624</v>
      </c>
      <c r="B177" s="1562"/>
      <c r="C177" s="1563"/>
      <c r="D177" s="1564"/>
      <c r="E177" s="1564"/>
      <c r="F177" s="1564"/>
      <c r="G177" s="1564"/>
      <c r="H177" s="1564"/>
      <c r="I177" s="1564"/>
      <c r="J177" s="1564"/>
      <c r="K177" s="1564"/>
      <c r="L177" s="1564"/>
      <c r="M177" s="1564"/>
      <c r="N177" s="1564"/>
    </row>
  </sheetData>
  <mergeCells count="6">
    <mergeCell ref="B88:J88"/>
    <mergeCell ref="R2:R4"/>
    <mergeCell ref="A1:N1"/>
    <mergeCell ref="B3:J3"/>
    <mergeCell ref="B55:J55"/>
    <mergeCell ref="B71:J71"/>
  </mergeCells>
  <printOptions horizontalCentered="1"/>
  <pageMargins left="1.24" right="0.19" top="1.03" bottom="0.73" header="0.5" footer="0.56999999999999995"/>
  <pageSetup paperSize="9" scale="82"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pageSetUpPr fitToPage="1"/>
  </sheetPr>
  <dimension ref="A1:P175"/>
  <sheetViews>
    <sheetView tabSelected="1" view="pageLayout" zoomScale="70" zoomScaleNormal="100" zoomScaleSheetLayoutView="120" zoomScalePageLayoutView="70" workbookViewId="0">
      <selection activeCell="D24" sqref="D24"/>
    </sheetView>
  </sheetViews>
  <sheetFormatPr defaultColWidth="9.28515625" defaultRowHeight="12"/>
  <cols>
    <col min="1" max="1" width="17.85546875" style="145" customWidth="1"/>
    <col min="2" max="2" width="25.7109375" style="145" customWidth="1"/>
    <col min="3" max="3" width="13.7109375" style="145" customWidth="1"/>
    <col min="4" max="4" width="7.28515625" style="145" customWidth="1"/>
    <col min="5" max="5" width="7.7109375" style="145" hidden="1" customWidth="1"/>
    <col min="6" max="6" width="9.5703125" style="145" hidden="1" customWidth="1"/>
    <col min="7" max="8" width="0" style="145" hidden="1" customWidth="1"/>
    <col min="9" max="9" width="10.140625" style="145" hidden="1" customWidth="1"/>
    <col min="10" max="10" width="10.7109375" style="145" hidden="1" customWidth="1"/>
    <col min="11" max="11" width="7.42578125" style="145" customWidth="1"/>
    <col min="12" max="12" width="7.140625" style="145" customWidth="1"/>
    <col min="13" max="13" width="7.7109375" style="145" customWidth="1"/>
    <col min="14" max="14" width="7.5703125" style="145" customWidth="1"/>
    <col min="15" max="15" width="12.140625" style="145" customWidth="1"/>
    <col min="16" max="16384" width="9.28515625" style="145"/>
  </cols>
  <sheetData>
    <row r="1" spans="1:16" ht="29.25" thickBot="1">
      <c r="A1" s="1681" t="s">
        <v>2254</v>
      </c>
      <c r="B1" s="1681"/>
      <c r="C1" s="1681"/>
      <c r="D1" s="1681"/>
      <c r="E1" s="1681"/>
      <c r="F1" s="1681"/>
      <c r="G1" s="1681"/>
      <c r="H1" s="1681"/>
      <c r="I1" s="1681"/>
      <c r="J1" s="1681"/>
      <c r="K1" s="1681"/>
      <c r="L1" s="1681"/>
    </row>
    <row r="2" spans="1:16" ht="56.45" customHeight="1">
      <c r="A2" s="1685" t="s">
        <v>2255</v>
      </c>
      <c r="B2" s="1687" t="s">
        <v>2256</v>
      </c>
      <c r="C2" s="1687" t="s">
        <v>2257</v>
      </c>
      <c r="D2" s="1687" t="s">
        <v>2258</v>
      </c>
      <c r="E2" s="1687" t="s">
        <v>1004</v>
      </c>
      <c r="F2" s="1687"/>
      <c r="G2" s="1687" t="s">
        <v>1004</v>
      </c>
      <c r="H2" s="1687"/>
      <c r="I2" s="1682" t="s">
        <v>2190</v>
      </c>
      <c r="J2" s="1682"/>
      <c r="K2" s="1682" t="s">
        <v>2191</v>
      </c>
      <c r="L2" s="1682"/>
      <c r="M2" s="1682" t="s">
        <v>2192</v>
      </c>
      <c r="N2" s="1682"/>
      <c r="O2" s="1234" t="s">
        <v>2543</v>
      </c>
      <c r="P2" s="1233"/>
    </row>
    <row r="3" spans="1:16" ht="21.75" customHeight="1">
      <c r="A3" s="1686"/>
      <c r="B3" s="1688"/>
      <c r="C3" s="1688"/>
      <c r="D3" s="1688"/>
      <c r="E3" s="795" t="s">
        <v>1005</v>
      </c>
      <c r="F3" s="795" t="s">
        <v>1006</v>
      </c>
      <c r="G3" s="795" t="s">
        <v>1005</v>
      </c>
      <c r="H3" s="795" t="s">
        <v>1006</v>
      </c>
      <c r="I3" s="796" t="s">
        <v>1005</v>
      </c>
      <c r="J3" s="796" t="s">
        <v>1006</v>
      </c>
      <c r="K3" s="796" t="s">
        <v>1005</v>
      </c>
      <c r="L3" s="796" t="s">
        <v>1006</v>
      </c>
      <c r="M3" s="796" t="s">
        <v>1005</v>
      </c>
      <c r="N3" s="796" t="s">
        <v>1006</v>
      </c>
      <c r="O3" s="1137" t="s">
        <v>2568</v>
      </c>
    </row>
    <row r="4" spans="1:16" ht="16.899999999999999" customHeight="1">
      <c r="A4" s="1235" t="s">
        <v>1007</v>
      </c>
      <c r="B4" s="798" t="s">
        <v>1008</v>
      </c>
      <c r="C4" s="798" t="s">
        <v>1009</v>
      </c>
      <c r="D4" s="146" t="s">
        <v>1010</v>
      </c>
      <c r="E4" s="146">
        <v>400</v>
      </c>
      <c r="F4" s="146">
        <v>2800</v>
      </c>
      <c r="G4" s="188">
        <f>E4*1.1</f>
        <v>440.00000000000006</v>
      </c>
      <c r="H4" s="188">
        <f>F4*1.1</f>
        <v>3080.0000000000005</v>
      </c>
      <c r="I4" s="801">
        <f>G4</f>
        <v>440.00000000000006</v>
      </c>
      <c r="J4" s="801">
        <f>H4</f>
        <v>3080.0000000000005</v>
      </c>
      <c r="K4" s="1683" t="s">
        <v>2259</v>
      </c>
      <c r="L4" s="1683" t="s">
        <v>2259</v>
      </c>
      <c r="M4" s="1683" t="s">
        <v>2259</v>
      </c>
      <c r="N4" s="1683" t="s">
        <v>2259</v>
      </c>
      <c r="O4" s="1679" t="s">
        <v>2259</v>
      </c>
    </row>
    <row r="5" spans="1:16" ht="18">
      <c r="A5" s="799" t="s">
        <v>1007</v>
      </c>
      <c r="B5" s="798" t="s">
        <v>1011</v>
      </c>
      <c r="C5" s="798" t="s">
        <v>1009</v>
      </c>
      <c r="D5" s="146" t="s">
        <v>1010</v>
      </c>
      <c r="E5" s="146">
        <v>500</v>
      </c>
      <c r="F5" s="146">
        <v>3500</v>
      </c>
      <c r="G5" s="188">
        <f t="shared" ref="G5:G68" si="0">E5*1.1</f>
        <v>550</v>
      </c>
      <c r="H5" s="188">
        <f t="shared" ref="H5:H68" si="1">F5*1.1</f>
        <v>3850.0000000000005</v>
      </c>
      <c r="I5" s="801">
        <f t="shared" ref="I5:I68" si="2">G5</f>
        <v>550</v>
      </c>
      <c r="J5" s="801">
        <f t="shared" ref="J5:J68" si="3">H5</f>
        <v>3850.0000000000005</v>
      </c>
      <c r="K5" s="1683"/>
      <c r="L5" s="1683"/>
      <c r="M5" s="1683"/>
      <c r="N5" s="1683"/>
      <c r="O5" s="1679"/>
    </row>
    <row r="6" spans="1:16" ht="18">
      <c r="A6" s="799" t="s">
        <v>1012</v>
      </c>
      <c r="B6" s="798" t="s">
        <v>1013</v>
      </c>
      <c r="C6" s="798"/>
      <c r="D6" s="146" t="s">
        <v>1014</v>
      </c>
      <c r="E6" s="146">
        <v>1400</v>
      </c>
      <c r="F6" s="146">
        <v>9800</v>
      </c>
      <c r="G6" s="188">
        <f t="shared" si="0"/>
        <v>1540.0000000000002</v>
      </c>
      <c r="H6" s="188">
        <f t="shared" si="1"/>
        <v>10780</v>
      </c>
      <c r="I6" s="801">
        <f t="shared" si="2"/>
        <v>1540.0000000000002</v>
      </c>
      <c r="J6" s="801">
        <f t="shared" si="3"/>
        <v>10780</v>
      </c>
      <c r="K6" s="1683"/>
      <c r="L6" s="1683"/>
      <c r="M6" s="1683"/>
      <c r="N6" s="1683"/>
      <c r="O6" s="1679"/>
    </row>
    <row r="7" spans="1:16" ht="18">
      <c r="A7" s="799" t="s">
        <v>1015</v>
      </c>
      <c r="B7" s="798" t="s">
        <v>1016</v>
      </c>
      <c r="C7" s="798"/>
      <c r="D7" s="146" t="s">
        <v>1017</v>
      </c>
      <c r="E7" s="146">
        <v>1000</v>
      </c>
      <c r="F7" s="146">
        <v>7000</v>
      </c>
      <c r="G7" s="188">
        <f t="shared" si="0"/>
        <v>1100</v>
      </c>
      <c r="H7" s="188">
        <f t="shared" si="1"/>
        <v>7700.0000000000009</v>
      </c>
      <c r="I7" s="801">
        <f t="shared" si="2"/>
        <v>1100</v>
      </c>
      <c r="J7" s="801">
        <f t="shared" si="3"/>
        <v>7700.0000000000009</v>
      </c>
      <c r="K7" s="1683"/>
      <c r="L7" s="1683"/>
      <c r="M7" s="1683"/>
      <c r="N7" s="1683"/>
      <c r="O7" s="1679"/>
    </row>
    <row r="8" spans="1:16" ht="18">
      <c r="A8" s="799" t="s">
        <v>1018</v>
      </c>
      <c r="B8" s="798" t="s">
        <v>1019</v>
      </c>
      <c r="C8" s="798"/>
      <c r="D8" s="146" t="s">
        <v>1020</v>
      </c>
      <c r="E8" s="146">
        <v>260</v>
      </c>
      <c r="F8" s="146">
        <v>1820</v>
      </c>
      <c r="G8" s="188">
        <f t="shared" si="0"/>
        <v>286</v>
      </c>
      <c r="H8" s="188">
        <f t="shared" si="1"/>
        <v>2002.0000000000002</v>
      </c>
      <c r="I8" s="801">
        <f t="shared" si="2"/>
        <v>286</v>
      </c>
      <c r="J8" s="801">
        <f t="shared" si="3"/>
        <v>2002.0000000000002</v>
      </c>
      <c r="K8" s="1683"/>
      <c r="L8" s="1683"/>
      <c r="M8" s="1683"/>
      <c r="N8" s="1683"/>
      <c r="O8" s="1679"/>
    </row>
    <row r="9" spans="1:16" ht="18">
      <c r="A9" s="799" t="s">
        <v>1021</v>
      </c>
      <c r="B9" s="798" t="s">
        <v>1022</v>
      </c>
      <c r="C9" s="798"/>
      <c r="D9" s="146" t="s">
        <v>1023</v>
      </c>
      <c r="E9" s="146">
        <v>1200</v>
      </c>
      <c r="F9" s="146">
        <v>8400</v>
      </c>
      <c r="G9" s="188">
        <f t="shared" si="0"/>
        <v>1320</v>
      </c>
      <c r="H9" s="188">
        <f t="shared" si="1"/>
        <v>9240</v>
      </c>
      <c r="I9" s="801">
        <f t="shared" si="2"/>
        <v>1320</v>
      </c>
      <c r="J9" s="801">
        <f t="shared" si="3"/>
        <v>9240</v>
      </c>
      <c r="K9" s="1683"/>
      <c r="L9" s="1683"/>
      <c r="M9" s="1683"/>
      <c r="N9" s="1683"/>
      <c r="O9" s="1679"/>
    </row>
    <row r="10" spans="1:16" ht="18">
      <c r="A10" s="799" t="s">
        <v>1024</v>
      </c>
      <c r="B10" s="798" t="s">
        <v>1025</v>
      </c>
      <c r="C10" s="798" t="s">
        <v>1026</v>
      </c>
      <c r="D10" s="146" t="s">
        <v>1027</v>
      </c>
      <c r="E10" s="146">
        <v>250</v>
      </c>
      <c r="F10" s="146">
        <v>1750</v>
      </c>
      <c r="G10" s="188">
        <f t="shared" si="0"/>
        <v>275</v>
      </c>
      <c r="H10" s="188">
        <f t="shared" si="1"/>
        <v>1925.0000000000002</v>
      </c>
      <c r="I10" s="801">
        <f t="shared" si="2"/>
        <v>275</v>
      </c>
      <c r="J10" s="801">
        <f t="shared" si="3"/>
        <v>1925.0000000000002</v>
      </c>
      <c r="K10" s="1683"/>
      <c r="L10" s="1683"/>
      <c r="M10" s="1683"/>
      <c r="N10" s="1683"/>
      <c r="O10" s="1679"/>
    </row>
    <row r="11" spans="1:16" ht="18">
      <c r="A11" s="799" t="s">
        <v>1024</v>
      </c>
      <c r="B11" s="798" t="s">
        <v>1028</v>
      </c>
      <c r="C11" s="798"/>
      <c r="D11" s="146" t="s">
        <v>1027</v>
      </c>
      <c r="E11" s="146">
        <v>250</v>
      </c>
      <c r="F11" s="146">
        <v>1750</v>
      </c>
      <c r="G11" s="188">
        <f t="shared" si="0"/>
        <v>275</v>
      </c>
      <c r="H11" s="188">
        <f t="shared" si="1"/>
        <v>1925.0000000000002</v>
      </c>
      <c r="I11" s="801">
        <f t="shared" si="2"/>
        <v>275</v>
      </c>
      <c r="J11" s="801">
        <f t="shared" si="3"/>
        <v>1925.0000000000002</v>
      </c>
      <c r="K11" s="1683"/>
      <c r="L11" s="1683"/>
      <c r="M11" s="1683"/>
      <c r="N11" s="1683"/>
      <c r="O11" s="1679"/>
    </row>
    <row r="12" spans="1:16" ht="18">
      <c r="A12" s="799" t="s">
        <v>1024</v>
      </c>
      <c r="B12" s="798" t="s">
        <v>1029</v>
      </c>
      <c r="C12" s="798"/>
      <c r="D12" s="146" t="s">
        <v>1027</v>
      </c>
      <c r="E12" s="146">
        <v>250</v>
      </c>
      <c r="F12" s="146">
        <v>1750</v>
      </c>
      <c r="G12" s="188">
        <f t="shared" si="0"/>
        <v>275</v>
      </c>
      <c r="H12" s="188">
        <f t="shared" si="1"/>
        <v>1925.0000000000002</v>
      </c>
      <c r="I12" s="801">
        <f t="shared" si="2"/>
        <v>275</v>
      </c>
      <c r="J12" s="801">
        <f t="shared" si="3"/>
        <v>1925.0000000000002</v>
      </c>
      <c r="K12" s="1683"/>
      <c r="L12" s="1683"/>
      <c r="M12" s="1683"/>
      <c r="N12" s="1683"/>
      <c r="O12" s="1679"/>
    </row>
    <row r="13" spans="1:16" ht="18">
      <c r="A13" s="799" t="s">
        <v>1030</v>
      </c>
      <c r="B13" s="798" t="s">
        <v>1031</v>
      </c>
      <c r="C13" s="798" t="s">
        <v>1032</v>
      </c>
      <c r="D13" s="146" t="s">
        <v>1033</v>
      </c>
      <c r="E13" s="146">
        <v>3100</v>
      </c>
      <c r="F13" s="146">
        <v>21700</v>
      </c>
      <c r="G13" s="188">
        <f t="shared" si="0"/>
        <v>3410.0000000000005</v>
      </c>
      <c r="H13" s="188">
        <f t="shared" si="1"/>
        <v>23870.000000000004</v>
      </c>
      <c r="I13" s="801">
        <f t="shared" si="2"/>
        <v>3410.0000000000005</v>
      </c>
      <c r="J13" s="801">
        <f t="shared" si="3"/>
        <v>23870.000000000004</v>
      </c>
      <c r="K13" s="1683"/>
      <c r="L13" s="1683"/>
      <c r="M13" s="1683"/>
      <c r="N13" s="1683"/>
      <c r="O13" s="1679"/>
    </row>
    <row r="14" spans="1:16" ht="18">
      <c r="A14" s="799" t="s">
        <v>1030</v>
      </c>
      <c r="B14" s="798" t="s">
        <v>1034</v>
      </c>
      <c r="C14" s="798" t="s">
        <v>1035</v>
      </c>
      <c r="D14" s="146" t="s">
        <v>1033</v>
      </c>
      <c r="E14" s="146">
        <v>3500</v>
      </c>
      <c r="F14" s="146">
        <v>24500</v>
      </c>
      <c r="G14" s="188">
        <f t="shared" si="0"/>
        <v>3850.0000000000005</v>
      </c>
      <c r="H14" s="188">
        <f t="shared" si="1"/>
        <v>26950.000000000004</v>
      </c>
      <c r="I14" s="801">
        <f t="shared" si="2"/>
        <v>3850.0000000000005</v>
      </c>
      <c r="J14" s="801">
        <f t="shared" si="3"/>
        <v>26950.000000000004</v>
      </c>
      <c r="K14" s="1683"/>
      <c r="L14" s="1683"/>
      <c r="M14" s="1683"/>
      <c r="N14" s="1683"/>
      <c r="O14" s="1679"/>
    </row>
    <row r="15" spans="1:16" ht="18">
      <c r="A15" s="799" t="s">
        <v>1036</v>
      </c>
      <c r="B15" s="798" t="s">
        <v>1037</v>
      </c>
      <c r="C15" s="798"/>
      <c r="D15" s="146" t="s">
        <v>1038</v>
      </c>
      <c r="E15" s="146">
        <v>250</v>
      </c>
      <c r="F15" s="146">
        <v>1750</v>
      </c>
      <c r="G15" s="188">
        <f t="shared" si="0"/>
        <v>275</v>
      </c>
      <c r="H15" s="188">
        <f t="shared" si="1"/>
        <v>1925.0000000000002</v>
      </c>
      <c r="I15" s="801">
        <f t="shared" si="2"/>
        <v>275</v>
      </c>
      <c r="J15" s="801">
        <f t="shared" si="3"/>
        <v>1925.0000000000002</v>
      </c>
      <c r="K15" s="1683"/>
      <c r="L15" s="1683"/>
      <c r="M15" s="1683"/>
      <c r="N15" s="1683"/>
      <c r="O15" s="1679"/>
    </row>
    <row r="16" spans="1:16" ht="18">
      <c r="A16" s="799" t="s">
        <v>1036</v>
      </c>
      <c r="B16" s="798" t="s">
        <v>1039</v>
      </c>
      <c r="C16" s="798"/>
      <c r="D16" s="146" t="s">
        <v>1038</v>
      </c>
      <c r="E16" s="146">
        <v>250</v>
      </c>
      <c r="F16" s="146">
        <v>1750</v>
      </c>
      <c r="G16" s="188">
        <f t="shared" si="0"/>
        <v>275</v>
      </c>
      <c r="H16" s="188">
        <f t="shared" si="1"/>
        <v>1925.0000000000002</v>
      </c>
      <c r="I16" s="801">
        <f t="shared" si="2"/>
        <v>275</v>
      </c>
      <c r="J16" s="801">
        <f t="shared" si="3"/>
        <v>1925.0000000000002</v>
      </c>
      <c r="K16" s="1683"/>
      <c r="L16" s="1683"/>
      <c r="M16" s="1683"/>
      <c r="N16" s="1683"/>
      <c r="O16" s="1679"/>
    </row>
    <row r="17" spans="1:15" ht="18">
      <c r="A17" s="799" t="s">
        <v>1040</v>
      </c>
      <c r="B17" s="798" t="s">
        <v>1041</v>
      </c>
      <c r="C17" s="798" t="s">
        <v>1042</v>
      </c>
      <c r="D17" s="146" t="s">
        <v>1043</v>
      </c>
      <c r="E17" s="146">
        <v>2100</v>
      </c>
      <c r="F17" s="146">
        <v>14700</v>
      </c>
      <c r="G17" s="188">
        <f t="shared" si="0"/>
        <v>2310</v>
      </c>
      <c r="H17" s="188">
        <f t="shared" si="1"/>
        <v>16170.000000000002</v>
      </c>
      <c r="I17" s="801">
        <f t="shared" si="2"/>
        <v>2310</v>
      </c>
      <c r="J17" s="801">
        <f t="shared" si="3"/>
        <v>16170.000000000002</v>
      </c>
      <c r="K17" s="1683"/>
      <c r="L17" s="1683"/>
      <c r="M17" s="1683"/>
      <c r="N17" s="1683"/>
      <c r="O17" s="1679"/>
    </row>
    <row r="18" spans="1:15" ht="18">
      <c r="A18" s="799" t="s">
        <v>1040</v>
      </c>
      <c r="B18" s="798" t="s">
        <v>1044</v>
      </c>
      <c r="C18" s="798" t="s">
        <v>1042</v>
      </c>
      <c r="D18" s="146" t="s">
        <v>1043</v>
      </c>
      <c r="E18" s="146">
        <v>2100</v>
      </c>
      <c r="F18" s="146">
        <v>14700</v>
      </c>
      <c r="G18" s="188">
        <f t="shared" si="0"/>
        <v>2310</v>
      </c>
      <c r="H18" s="188">
        <f t="shared" si="1"/>
        <v>16170.000000000002</v>
      </c>
      <c r="I18" s="801">
        <f t="shared" si="2"/>
        <v>2310</v>
      </c>
      <c r="J18" s="801">
        <f t="shared" si="3"/>
        <v>16170.000000000002</v>
      </c>
      <c r="K18" s="1683"/>
      <c r="L18" s="1683"/>
      <c r="M18" s="1683"/>
      <c r="N18" s="1683"/>
      <c r="O18" s="1679"/>
    </row>
    <row r="19" spans="1:15" ht="18">
      <c r="A19" s="799" t="s">
        <v>1045</v>
      </c>
      <c r="B19" s="798" t="s">
        <v>1046</v>
      </c>
      <c r="C19" s="798" t="s">
        <v>1042</v>
      </c>
      <c r="D19" s="146" t="s">
        <v>1047</v>
      </c>
      <c r="E19" s="146">
        <v>3000</v>
      </c>
      <c r="F19" s="146">
        <v>21000</v>
      </c>
      <c r="G19" s="188">
        <f t="shared" si="0"/>
        <v>3300.0000000000005</v>
      </c>
      <c r="H19" s="188">
        <f t="shared" si="1"/>
        <v>23100.000000000004</v>
      </c>
      <c r="I19" s="801">
        <f t="shared" si="2"/>
        <v>3300.0000000000005</v>
      </c>
      <c r="J19" s="801">
        <f t="shared" si="3"/>
        <v>23100.000000000004</v>
      </c>
      <c r="K19" s="1683"/>
      <c r="L19" s="1683"/>
      <c r="M19" s="1683"/>
      <c r="N19" s="1683"/>
      <c r="O19" s="1679"/>
    </row>
    <row r="20" spans="1:15" ht="18">
      <c r="A20" s="799" t="s">
        <v>1045</v>
      </c>
      <c r="B20" s="798" t="s">
        <v>1048</v>
      </c>
      <c r="C20" s="798" t="s">
        <v>1042</v>
      </c>
      <c r="D20" s="146" t="s">
        <v>1047</v>
      </c>
      <c r="E20" s="146">
        <v>3000</v>
      </c>
      <c r="F20" s="146">
        <v>21000</v>
      </c>
      <c r="G20" s="188">
        <f t="shared" si="0"/>
        <v>3300.0000000000005</v>
      </c>
      <c r="H20" s="188">
        <f t="shared" si="1"/>
        <v>23100.000000000004</v>
      </c>
      <c r="I20" s="801">
        <f t="shared" si="2"/>
        <v>3300.0000000000005</v>
      </c>
      <c r="J20" s="801">
        <f t="shared" si="3"/>
        <v>23100.000000000004</v>
      </c>
      <c r="K20" s="1683"/>
      <c r="L20" s="1683"/>
      <c r="M20" s="1683"/>
      <c r="N20" s="1683"/>
      <c r="O20" s="1679"/>
    </row>
    <row r="21" spans="1:15" ht="18">
      <c r="A21" s="799" t="s">
        <v>1045</v>
      </c>
      <c r="B21" s="798" t="s">
        <v>1049</v>
      </c>
      <c r="C21" s="798" t="s">
        <v>1042</v>
      </c>
      <c r="D21" s="146" t="s">
        <v>1047</v>
      </c>
      <c r="E21" s="146">
        <v>3000</v>
      </c>
      <c r="F21" s="146">
        <v>21000</v>
      </c>
      <c r="G21" s="188">
        <f t="shared" si="0"/>
        <v>3300.0000000000005</v>
      </c>
      <c r="H21" s="188">
        <f t="shared" si="1"/>
        <v>23100.000000000004</v>
      </c>
      <c r="I21" s="801">
        <f t="shared" si="2"/>
        <v>3300.0000000000005</v>
      </c>
      <c r="J21" s="801">
        <f t="shared" si="3"/>
        <v>23100.000000000004</v>
      </c>
      <c r="K21" s="1683"/>
      <c r="L21" s="1683"/>
      <c r="M21" s="1683"/>
      <c r="N21" s="1683"/>
      <c r="O21" s="1679"/>
    </row>
    <row r="22" spans="1:15" ht="18">
      <c r="A22" s="799" t="s">
        <v>1045</v>
      </c>
      <c r="B22" s="798" t="s">
        <v>1050</v>
      </c>
      <c r="C22" s="798" t="s">
        <v>1042</v>
      </c>
      <c r="D22" s="146" t="s">
        <v>1047</v>
      </c>
      <c r="E22" s="146">
        <v>2000</v>
      </c>
      <c r="F22" s="146">
        <v>14000</v>
      </c>
      <c r="G22" s="188">
        <f t="shared" si="0"/>
        <v>2200</v>
      </c>
      <c r="H22" s="188">
        <f t="shared" si="1"/>
        <v>15400.000000000002</v>
      </c>
      <c r="I22" s="801">
        <f t="shared" si="2"/>
        <v>2200</v>
      </c>
      <c r="J22" s="801">
        <f t="shared" si="3"/>
        <v>15400.000000000002</v>
      </c>
      <c r="K22" s="1683"/>
      <c r="L22" s="1683"/>
      <c r="M22" s="1683"/>
      <c r="N22" s="1683"/>
      <c r="O22" s="1679"/>
    </row>
    <row r="23" spans="1:15" ht="18">
      <c r="A23" s="799" t="s">
        <v>1045</v>
      </c>
      <c r="B23" s="798" t="s">
        <v>1051</v>
      </c>
      <c r="C23" s="798" t="s">
        <v>1042</v>
      </c>
      <c r="D23" s="146" t="s">
        <v>1047</v>
      </c>
      <c r="E23" s="146">
        <v>2000</v>
      </c>
      <c r="F23" s="146">
        <v>14000</v>
      </c>
      <c r="G23" s="188">
        <f t="shared" si="0"/>
        <v>2200</v>
      </c>
      <c r="H23" s="188">
        <f t="shared" si="1"/>
        <v>15400.000000000002</v>
      </c>
      <c r="I23" s="801">
        <f t="shared" si="2"/>
        <v>2200</v>
      </c>
      <c r="J23" s="801">
        <f t="shared" si="3"/>
        <v>15400.000000000002</v>
      </c>
      <c r="K23" s="1683"/>
      <c r="L23" s="1683"/>
      <c r="M23" s="1683"/>
      <c r="N23" s="1683"/>
      <c r="O23" s="1679"/>
    </row>
    <row r="24" spans="1:15" ht="18">
      <c r="A24" s="799" t="s">
        <v>1045</v>
      </c>
      <c r="B24" s="798" t="s">
        <v>1052</v>
      </c>
      <c r="C24" s="798" t="s">
        <v>1053</v>
      </c>
      <c r="D24" s="146" t="s">
        <v>1047</v>
      </c>
      <c r="E24" s="146">
        <v>1800</v>
      </c>
      <c r="F24" s="146">
        <v>12600</v>
      </c>
      <c r="G24" s="188">
        <f t="shared" si="0"/>
        <v>1980.0000000000002</v>
      </c>
      <c r="H24" s="188">
        <f t="shared" si="1"/>
        <v>13860.000000000002</v>
      </c>
      <c r="I24" s="801">
        <f t="shared" si="2"/>
        <v>1980.0000000000002</v>
      </c>
      <c r="J24" s="801">
        <f t="shared" si="3"/>
        <v>13860.000000000002</v>
      </c>
      <c r="K24" s="1683"/>
      <c r="L24" s="1683"/>
      <c r="M24" s="1683"/>
      <c r="N24" s="1683"/>
      <c r="O24" s="1679"/>
    </row>
    <row r="25" spans="1:15" ht="18">
      <c r="A25" s="799" t="s">
        <v>1045</v>
      </c>
      <c r="B25" s="798" t="s">
        <v>1054</v>
      </c>
      <c r="C25" s="798" t="s">
        <v>1053</v>
      </c>
      <c r="D25" s="146" t="s">
        <v>1047</v>
      </c>
      <c r="E25" s="146">
        <v>1800</v>
      </c>
      <c r="F25" s="146">
        <v>12600</v>
      </c>
      <c r="G25" s="188">
        <f t="shared" si="0"/>
        <v>1980.0000000000002</v>
      </c>
      <c r="H25" s="188">
        <f t="shared" si="1"/>
        <v>13860.000000000002</v>
      </c>
      <c r="I25" s="801">
        <f t="shared" si="2"/>
        <v>1980.0000000000002</v>
      </c>
      <c r="J25" s="801">
        <f t="shared" si="3"/>
        <v>13860.000000000002</v>
      </c>
      <c r="K25" s="1683"/>
      <c r="L25" s="1683"/>
      <c r="M25" s="1683"/>
      <c r="N25" s="1683"/>
      <c r="O25" s="1679"/>
    </row>
    <row r="26" spans="1:15" ht="18">
      <c r="A26" s="799" t="s">
        <v>1045</v>
      </c>
      <c r="B26" s="798" t="s">
        <v>1055</v>
      </c>
      <c r="C26" s="798" t="s">
        <v>1053</v>
      </c>
      <c r="D26" s="146" t="s">
        <v>1047</v>
      </c>
      <c r="E26" s="146">
        <v>1800</v>
      </c>
      <c r="F26" s="146">
        <v>12600</v>
      </c>
      <c r="G26" s="188">
        <f t="shared" si="0"/>
        <v>1980.0000000000002</v>
      </c>
      <c r="H26" s="188">
        <f t="shared" si="1"/>
        <v>13860.000000000002</v>
      </c>
      <c r="I26" s="801">
        <f t="shared" si="2"/>
        <v>1980.0000000000002</v>
      </c>
      <c r="J26" s="801">
        <f t="shared" si="3"/>
        <v>13860.000000000002</v>
      </c>
      <c r="K26" s="1683"/>
      <c r="L26" s="1683"/>
      <c r="M26" s="1683"/>
      <c r="N26" s="1683"/>
      <c r="O26" s="1679"/>
    </row>
    <row r="27" spans="1:15" ht="18">
      <c r="A27" s="799" t="s">
        <v>1045</v>
      </c>
      <c r="B27" s="798" t="s">
        <v>1056</v>
      </c>
      <c r="C27" s="798" t="s">
        <v>1057</v>
      </c>
      <c r="D27" s="146" t="s">
        <v>1047</v>
      </c>
      <c r="E27" s="146">
        <v>1800</v>
      </c>
      <c r="F27" s="146">
        <v>12600</v>
      </c>
      <c r="G27" s="188">
        <f t="shared" si="0"/>
        <v>1980.0000000000002</v>
      </c>
      <c r="H27" s="188">
        <f t="shared" si="1"/>
        <v>13860.000000000002</v>
      </c>
      <c r="I27" s="801">
        <f t="shared" si="2"/>
        <v>1980.0000000000002</v>
      </c>
      <c r="J27" s="801">
        <f t="shared" si="3"/>
        <v>13860.000000000002</v>
      </c>
      <c r="K27" s="1683"/>
      <c r="L27" s="1683"/>
      <c r="M27" s="1683"/>
      <c r="N27" s="1683"/>
      <c r="O27" s="1679"/>
    </row>
    <row r="28" spans="1:15" ht="18">
      <c r="A28" s="799" t="s">
        <v>1045</v>
      </c>
      <c r="B28" s="798" t="s">
        <v>1058</v>
      </c>
      <c r="C28" s="798" t="s">
        <v>1057</v>
      </c>
      <c r="D28" s="146" t="s">
        <v>1047</v>
      </c>
      <c r="E28" s="146">
        <v>1800</v>
      </c>
      <c r="F28" s="146">
        <v>12600</v>
      </c>
      <c r="G28" s="188">
        <f t="shared" si="0"/>
        <v>1980.0000000000002</v>
      </c>
      <c r="H28" s="188">
        <f t="shared" si="1"/>
        <v>13860.000000000002</v>
      </c>
      <c r="I28" s="801">
        <f t="shared" si="2"/>
        <v>1980.0000000000002</v>
      </c>
      <c r="J28" s="801">
        <f t="shared" si="3"/>
        <v>13860.000000000002</v>
      </c>
      <c r="K28" s="1683"/>
      <c r="L28" s="1683"/>
      <c r="M28" s="1683"/>
      <c r="N28" s="1683"/>
      <c r="O28" s="1679"/>
    </row>
    <row r="29" spans="1:15" ht="18">
      <c r="A29" s="799" t="s">
        <v>1045</v>
      </c>
      <c r="B29" s="798" t="s">
        <v>1059</v>
      </c>
      <c r="C29" s="798" t="s">
        <v>1060</v>
      </c>
      <c r="D29" s="146" t="s">
        <v>1047</v>
      </c>
      <c r="E29" s="146">
        <v>1000</v>
      </c>
      <c r="F29" s="146">
        <v>7000</v>
      </c>
      <c r="G29" s="188">
        <f t="shared" si="0"/>
        <v>1100</v>
      </c>
      <c r="H29" s="188">
        <f t="shared" si="1"/>
        <v>7700.0000000000009</v>
      </c>
      <c r="I29" s="801">
        <f t="shared" si="2"/>
        <v>1100</v>
      </c>
      <c r="J29" s="801">
        <f t="shared" si="3"/>
        <v>7700.0000000000009</v>
      </c>
      <c r="K29" s="1683"/>
      <c r="L29" s="1683"/>
      <c r="M29" s="1683"/>
      <c r="N29" s="1683"/>
      <c r="O29" s="1679"/>
    </row>
    <row r="30" spans="1:15" ht="18">
      <c r="A30" s="799" t="s">
        <v>1061</v>
      </c>
      <c r="B30" s="798" t="s">
        <v>1062</v>
      </c>
      <c r="C30" s="798" t="s">
        <v>1063</v>
      </c>
      <c r="D30" s="146" t="s">
        <v>1064</v>
      </c>
      <c r="E30" s="146">
        <v>1300</v>
      </c>
      <c r="F30" s="146">
        <v>9100</v>
      </c>
      <c r="G30" s="188">
        <f t="shared" si="0"/>
        <v>1430.0000000000002</v>
      </c>
      <c r="H30" s="188">
        <f t="shared" si="1"/>
        <v>10010</v>
      </c>
      <c r="I30" s="801">
        <f t="shared" si="2"/>
        <v>1430.0000000000002</v>
      </c>
      <c r="J30" s="801">
        <f t="shared" si="3"/>
        <v>10010</v>
      </c>
      <c r="K30" s="1683"/>
      <c r="L30" s="1683"/>
      <c r="M30" s="1683"/>
      <c r="N30" s="1683"/>
      <c r="O30" s="1679"/>
    </row>
    <row r="31" spans="1:15" ht="18">
      <c r="A31" s="799" t="s">
        <v>1061</v>
      </c>
      <c r="B31" s="798" t="s">
        <v>1065</v>
      </c>
      <c r="C31" s="798" t="s">
        <v>1063</v>
      </c>
      <c r="D31" s="146" t="s">
        <v>1064</v>
      </c>
      <c r="E31" s="146">
        <v>1300</v>
      </c>
      <c r="F31" s="146">
        <v>9100</v>
      </c>
      <c r="G31" s="188">
        <f t="shared" si="0"/>
        <v>1430.0000000000002</v>
      </c>
      <c r="H31" s="188">
        <f t="shared" si="1"/>
        <v>10010</v>
      </c>
      <c r="I31" s="801">
        <f t="shared" si="2"/>
        <v>1430.0000000000002</v>
      </c>
      <c r="J31" s="801">
        <f t="shared" si="3"/>
        <v>10010</v>
      </c>
      <c r="K31" s="1683"/>
      <c r="L31" s="1683"/>
      <c r="M31" s="1683"/>
      <c r="N31" s="1683"/>
      <c r="O31" s="1679"/>
    </row>
    <row r="32" spans="1:15" ht="18">
      <c r="A32" s="799" t="s">
        <v>1061</v>
      </c>
      <c r="B32" s="798" t="s">
        <v>1066</v>
      </c>
      <c r="C32" s="798" t="s">
        <v>1063</v>
      </c>
      <c r="D32" s="146" t="s">
        <v>1064</v>
      </c>
      <c r="E32" s="146">
        <v>1300</v>
      </c>
      <c r="F32" s="146">
        <v>9100</v>
      </c>
      <c r="G32" s="188">
        <f t="shared" si="0"/>
        <v>1430.0000000000002</v>
      </c>
      <c r="H32" s="188">
        <f t="shared" si="1"/>
        <v>10010</v>
      </c>
      <c r="I32" s="801">
        <f t="shared" si="2"/>
        <v>1430.0000000000002</v>
      </c>
      <c r="J32" s="801">
        <f t="shared" si="3"/>
        <v>10010</v>
      </c>
      <c r="K32" s="1683"/>
      <c r="L32" s="1683"/>
      <c r="M32" s="1683"/>
      <c r="N32" s="1683"/>
      <c r="O32" s="1679"/>
    </row>
    <row r="33" spans="1:15" ht="18">
      <c r="A33" s="799" t="s">
        <v>1067</v>
      </c>
      <c r="B33" s="798"/>
      <c r="C33" s="798"/>
      <c r="D33" s="146" t="s">
        <v>1068</v>
      </c>
      <c r="E33" s="146">
        <v>130</v>
      </c>
      <c r="F33" s="146">
        <v>910</v>
      </c>
      <c r="G33" s="188">
        <f t="shared" si="0"/>
        <v>143</v>
      </c>
      <c r="H33" s="188">
        <f t="shared" si="1"/>
        <v>1001.0000000000001</v>
      </c>
      <c r="I33" s="801">
        <f t="shared" si="2"/>
        <v>143</v>
      </c>
      <c r="J33" s="801">
        <f t="shared" si="3"/>
        <v>1001.0000000000001</v>
      </c>
      <c r="K33" s="1683"/>
      <c r="L33" s="1683"/>
      <c r="M33" s="1683"/>
      <c r="N33" s="1683"/>
      <c r="O33" s="1679"/>
    </row>
    <row r="34" spans="1:15" ht="18">
      <c r="A34" s="799" t="s">
        <v>1069</v>
      </c>
      <c r="B34" s="798" t="s">
        <v>1070</v>
      </c>
      <c r="C34" s="798" t="s">
        <v>1071</v>
      </c>
      <c r="D34" s="146" t="s">
        <v>1072</v>
      </c>
      <c r="E34" s="146">
        <v>250</v>
      </c>
      <c r="F34" s="146">
        <v>1750</v>
      </c>
      <c r="G34" s="188">
        <f t="shared" si="0"/>
        <v>275</v>
      </c>
      <c r="H34" s="188">
        <f t="shared" si="1"/>
        <v>1925.0000000000002</v>
      </c>
      <c r="I34" s="801">
        <f t="shared" si="2"/>
        <v>275</v>
      </c>
      <c r="J34" s="801">
        <f t="shared" si="3"/>
        <v>1925.0000000000002</v>
      </c>
      <c r="K34" s="1683"/>
      <c r="L34" s="1683"/>
      <c r="M34" s="1683"/>
      <c r="N34" s="1683"/>
      <c r="O34" s="1679"/>
    </row>
    <row r="35" spans="1:15" ht="18">
      <c r="A35" s="799" t="s">
        <v>1069</v>
      </c>
      <c r="B35" s="798" t="s">
        <v>1073</v>
      </c>
      <c r="C35" s="798" t="s">
        <v>1074</v>
      </c>
      <c r="D35" s="146" t="s">
        <v>1072</v>
      </c>
      <c r="E35" s="146">
        <v>250</v>
      </c>
      <c r="F35" s="146">
        <v>1750</v>
      </c>
      <c r="G35" s="188">
        <f t="shared" si="0"/>
        <v>275</v>
      </c>
      <c r="H35" s="188">
        <f t="shared" si="1"/>
        <v>1925.0000000000002</v>
      </c>
      <c r="I35" s="801">
        <f t="shared" si="2"/>
        <v>275</v>
      </c>
      <c r="J35" s="801">
        <f t="shared" si="3"/>
        <v>1925.0000000000002</v>
      </c>
      <c r="K35" s="1683"/>
      <c r="L35" s="1683"/>
      <c r="M35" s="1683"/>
      <c r="N35" s="1683"/>
      <c r="O35" s="1679"/>
    </row>
    <row r="36" spans="1:15" ht="18">
      <c r="A36" s="799" t="s">
        <v>1069</v>
      </c>
      <c r="B36" s="798" t="s">
        <v>1075</v>
      </c>
      <c r="C36" s="798" t="s">
        <v>1074</v>
      </c>
      <c r="D36" s="146" t="s">
        <v>1072</v>
      </c>
      <c r="E36" s="146">
        <v>250</v>
      </c>
      <c r="F36" s="146">
        <v>1750</v>
      </c>
      <c r="G36" s="188">
        <f t="shared" si="0"/>
        <v>275</v>
      </c>
      <c r="H36" s="188">
        <f t="shared" si="1"/>
        <v>1925.0000000000002</v>
      </c>
      <c r="I36" s="801">
        <f t="shared" si="2"/>
        <v>275</v>
      </c>
      <c r="J36" s="801">
        <f t="shared" si="3"/>
        <v>1925.0000000000002</v>
      </c>
      <c r="K36" s="1683"/>
      <c r="L36" s="1683"/>
      <c r="M36" s="1683"/>
      <c r="N36" s="1683"/>
      <c r="O36" s="1679"/>
    </row>
    <row r="37" spans="1:15" ht="18">
      <c r="A37" s="799" t="s">
        <v>1069</v>
      </c>
      <c r="B37" s="798" t="s">
        <v>1076</v>
      </c>
      <c r="C37" s="798" t="s">
        <v>1074</v>
      </c>
      <c r="D37" s="146" t="s">
        <v>1072</v>
      </c>
      <c r="E37" s="146">
        <v>250</v>
      </c>
      <c r="F37" s="146">
        <v>1750</v>
      </c>
      <c r="G37" s="188">
        <f t="shared" si="0"/>
        <v>275</v>
      </c>
      <c r="H37" s="188">
        <f t="shared" si="1"/>
        <v>1925.0000000000002</v>
      </c>
      <c r="I37" s="801">
        <f t="shared" si="2"/>
        <v>275</v>
      </c>
      <c r="J37" s="801">
        <f t="shared" si="3"/>
        <v>1925.0000000000002</v>
      </c>
      <c r="K37" s="1683"/>
      <c r="L37" s="1683"/>
      <c r="M37" s="1683"/>
      <c r="N37" s="1683"/>
      <c r="O37" s="1679"/>
    </row>
    <row r="38" spans="1:15" ht="18">
      <c r="A38" s="799" t="s">
        <v>1069</v>
      </c>
      <c r="B38" s="798" t="s">
        <v>1077</v>
      </c>
      <c r="C38" s="798" t="s">
        <v>1074</v>
      </c>
      <c r="D38" s="146" t="s">
        <v>1072</v>
      </c>
      <c r="E38" s="146">
        <v>550</v>
      </c>
      <c r="F38" s="146">
        <v>3850</v>
      </c>
      <c r="G38" s="188">
        <f t="shared" si="0"/>
        <v>605</v>
      </c>
      <c r="H38" s="188">
        <f t="shared" si="1"/>
        <v>4235</v>
      </c>
      <c r="I38" s="801">
        <f t="shared" si="2"/>
        <v>605</v>
      </c>
      <c r="J38" s="801">
        <f t="shared" si="3"/>
        <v>4235</v>
      </c>
      <c r="K38" s="1683"/>
      <c r="L38" s="1683"/>
      <c r="M38" s="1683"/>
      <c r="N38" s="1683"/>
      <c r="O38" s="1679"/>
    </row>
    <row r="39" spans="1:15" ht="18">
      <c r="A39" s="799" t="s">
        <v>1078</v>
      </c>
      <c r="B39" s="798" t="s">
        <v>1079</v>
      </c>
      <c r="C39" s="798" t="s">
        <v>1080</v>
      </c>
      <c r="D39" s="146" t="s">
        <v>1081</v>
      </c>
      <c r="E39" s="146">
        <v>1200</v>
      </c>
      <c r="F39" s="146">
        <v>8400</v>
      </c>
      <c r="G39" s="188">
        <f t="shared" si="0"/>
        <v>1320</v>
      </c>
      <c r="H39" s="188">
        <f t="shared" si="1"/>
        <v>9240</v>
      </c>
      <c r="I39" s="801">
        <f t="shared" si="2"/>
        <v>1320</v>
      </c>
      <c r="J39" s="801">
        <f t="shared" si="3"/>
        <v>9240</v>
      </c>
      <c r="K39" s="1683"/>
      <c r="L39" s="1683"/>
      <c r="M39" s="1683"/>
      <c r="N39" s="1683"/>
      <c r="O39" s="1679"/>
    </row>
    <row r="40" spans="1:15" ht="18">
      <c r="A40" s="799" t="s">
        <v>1078</v>
      </c>
      <c r="B40" s="798" t="s">
        <v>1082</v>
      </c>
      <c r="C40" s="798" t="s">
        <v>1080</v>
      </c>
      <c r="D40" s="146" t="s">
        <v>1081</v>
      </c>
      <c r="E40" s="146">
        <v>1200</v>
      </c>
      <c r="F40" s="146">
        <v>8400</v>
      </c>
      <c r="G40" s="188">
        <f t="shared" si="0"/>
        <v>1320</v>
      </c>
      <c r="H40" s="188">
        <f t="shared" si="1"/>
        <v>9240</v>
      </c>
      <c r="I40" s="801">
        <f t="shared" si="2"/>
        <v>1320</v>
      </c>
      <c r="J40" s="801">
        <f t="shared" si="3"/>
        <v>9240</v>
      </c>
      <c r="K40" s="1683"/>
      <c r="L40" s="1683"/>
      <c r="M40" s="1683"/>
      <c r="N40" s="1683"/>
      <c r="O40" s="1679"/>
    </row>
    <row r="41" spans="1:15" ht="18">
      <c r="A41" s="799" t="s">
        <v>1078</v>
      </c>
      <c r="B41" s="798" t="s">
        <v>1083</v>
      </c>
      <c r="C41" s="798" t="s">
        <v>1084</v>
      </c>
      <c r="D41" s="146" t="s">
        <v>1081</v>
      </c>
      <c r="E41" s="146">
        <v>1800</v>
      </c>
      <c r="F41" s="146">
        <v>12600</v>
      </c>
      <c r="G41" s="188">
        <f t="shared" si="0"/>
        <v>1980.0000000000002</v>
      </c>
      <c r="H41" s="188">
        <f t="shared" si="1"/>
        <v>13860.000000000002</v>
      </c>
      <c r="I41" s="801">
        <f t="shared" si="2"/>
        <v>1980.0000000000002</v>
      </c>
      <c r="J41" s="801">
        <f t="shared" si="3"/>
        <v>13860.000000000002</v>
      </c>
      <c r="K41" s="1683"/>
      <c r="L41" s="1683"/>
      <c r="M41" s="1683"/>
      <c r="N41" s="1683"/>
      <c r="O41" s="1679"/>
    </row>
    <row r="42" spans="1:15" ht="18">
      <c r="A42" s="799" t="s">
        <v>1078</v>
      </c>
      <c r="B42" s="798" t="s">
        <v>1085</v>
      </c>
      <c r="C42" s="798" t="s">
        <v>1084</v>
      </c>
      <c r="D42" s="146" t="s">
        <v>1081</v>
      </c>
      <c r="E42" s="146">
        <v>1800</v>
      </c>
      <c r="F42" s="146">
        <v>12600</v>
      </c>
      <c r="G42" s="188">
        <f t="shared" si="0"/>
        <v>1980.0000000000002</v>
      </c>
      <c r="H42" s="188">
        <f t="shared" si="1"/>
        <v>13860.000000000002</v>
      </c>
      <c r="I42" s="801">
        <f t="shared" si="2"/>
        <v>1980.0000000000002</v>
      </c>
      <c r="J42" s="801">
        <f t="shared" si="3"/>
        <v>13860.000000000002</v>
      </c>
      <c r="K42" s="1683"/>
      <c r="L42" s="1683"/>
      <c r="M42" s="1683"/>
      <c r="N42" s="1683"/>
      <c r="O42" s="1679"/>
    </row>
    <row r="43" spans="1:15" ht="18">
      <c r="A43" s="799" t="s">
        <v>1078</v>
      </c>
      <c r="B43" s="798" t="s">
        <v>1086</v>
      </c>
      <c r="C43" s="798" t="s">
        <v>1084</v>
      </c>
      <c r="D43" s="146" t="s">
        <v>1081</v>
      </c>
      <c r="E43" s="146">
        <v>1800</v>
      </c>
      <c r="F43" s="146">
        <v>12600</v>
      </c>
      <c r="G43" s="188">
        <f t="shared" si="0"/>
        <v>1980.0000000000002</v>
      </c>
      <c r="H43" s="188">
        <f t="shared" si="1"/>
        <v>13860.000000000002</v>
      </c>
      <c r="I43" s="801">
        <f t="shared" si="2"/>
        <v>1980.0000000000002</v>
      </c>
      <c r="J43" s="801">
        <f t="shared" si="3"/>
        <v>13860.000000000002</v>
      </c>
      <c r="K43" s="1683"/>
      <c r="L43" s="1683"/>
      <c r="M43" s="1683"/>
      <c r="N43" s="1683"/>
      <c r="O43" s="1679"/>
    </row>
    <row r="44" spans="1:15" ht="18">
      <c r="A44" s="799" t="s">
        <v>1078</v>
      </c>
      <c r="B44" s="798" t="s">
        <v>1087</v>
      </c>
      <c r="C44" s="798" t="s">
        <v>1084</v>
      </c>
      <c r="D44" s="146" t="s">
        <v>1081</v>
      </c>
      <c r="E44" s="146">
        <v>1800</v>
      </c>
      <c r="F44" s="146">
        <v>12600</v>
      </c>
      <c r="G44" s="188">
        <f t="shared" si="0"/>
        <v>1980.0000000000002</v>
      </c>
      <c r="H44" s="188">
        <f t="shared" si="1"/>
        <v>13860.000000000002</v>
      </c>
      <c r="I44" s="801">
        <f t="shared" si="2"/>
        <v>1980.0000000000002</v>
      </c>
      <c r="J44" s="801">
        <f t="shared" si="3"/>
        <v>13860.000000000002</v>
      </c>
      <c r="K44" s="1683"/>
      <c r="L44" s="1683"/>
      <c r="M44" s="1683"/>
      <c r="N44" s="1683"/>
      <c r="O44" s="1679"/>
    </row>
    <row r="45" spans="1:15" ht="18">
      <c r="A45" s="799" t="s">
        <v>1088</v>
      </c>
      <c r="B45" s="798" t="s">
        <v>1089</v>
      </c>
      <c r="C45" s="798" t="s">
        <v>1084</v>
      </c>
      <c r="D45" s="146" t="s">
        <v>1081</v>
      </c>
      <c r="E45" s="146">
        <v>2100</v>
      </c>
      <c r="F45" s="146">
        <v>14700</v>
      </c>
      <c r="G45" s="188">
        <f t="shared" si="0"/>
        <v>2310</v>
      </c>
      <c r="H45" s="188">
        <f t="shared" si="1"/>
        <v>16170.000000000002</v>
      </c>
      <c r="I45" s="801">
        <f t="shared" si="2"/>
        <v>2310</v>
      </c>
      <c r="J45" s="801">
        <f t="shared" si="3"/>
        <v>16170.000000000002</v>
      </c>
      <c r="K45" s="1683"/>
      <c r="L45" s="1683"/>
      <c r="M45" s="1683"/>
      <c r="N45" s="1683"/>
      <c r="O45" s="1679"/>
    </row>
    <row r="46" spans="1:15" ht="18">
      <c r="A46" s="799" t="s">
        <v>1090</v>
      </c>
      <c r="B46" s="798" t="s">
        <v>1091</v>
      </c>
      <c r="C46" s="798" t="s">
        <v>1092</v>
      </c>
      <c r="D46" s="146" t="s">
        <v>1093</v>
      </c>
      <c r="E46" s="146">
        <v>400</v>
      </c>
      <c r="F46" s="146">
        <v>2800</v>
      </c>
      <c r="G46" s="188">
        <f t="shared" si="0"/>
        <v>440.00000000000006</v>
      </c>
      <c r="H46" s="188">
        <f t="shared" si="1"/>
        <v>3080.0000000000005</v>
      </c>
      <c r="I46" s="801">
        <f t="shared" si="2"/>
        <v>440.00000000000006</v>
      </c>
      <c r="J46" s="801">
        <f t="shared" si="3"/>
        <v>3080.0000000000005</v>
      </c>
      <c r="K46" s="1683"/>
      <c r="L46" s="1683"/>
      <c r="M46" s="1683"/>
      <c r="N46" s="1683"/>
      <c r="O46" s="1679"/>
    </row>
    <row r="47" spans="1:15" ht="18">
      <c r="A47" s="799" t="s">
        <v>1094</v>
      </c>
      <c r="B47" s="798" t="s">
        <v>1095</v>
      </c>
      <c r="C47" s="798" t="s">
        <v>1096</v>
      </c>
      <c r="D47" s="146" t="s">
        <v>1097</v>
      </c>
      <c r="E47" s="146">
        <v>150</v>
      </c>
      <c r="F47" s="146">
        <v>1050</v>
      </c>
      <c r="G47" s="188">
        <f t="shared" si="0"/>
        <v>165</v>
      </c>
      <c r="H47" s="188">
        <f t="shared" si="1"/>
        <v>1155</v>
      </c>
      <c r="I47" s="801">
        <f t="shared" si="2"/>
        <v>165</v>
      </c>
      <c r="J47" s="801">
        <f t="shared" si="3"/>
        <v>1155</v>
      </c>
      <c r="K47" s="1683"/>
      <c r="L47" s="1683"/>
      <c r="M47" s="1683"/>
      <c r="N47" s="1683"/>
      <c r="O47" s="1679"/>
    </row>
    <row r="48" spans="1:15" ht="18">
      <c r="A48" s="799" t="s">
        <v>1094</v>
      </c>
      <c r="B48" s="798" t="s">
        <v>1098</v>
      </c>
      <c r="C48" s="798" t="s">
        <v>1096</v>
      </c>
      <c r="D48" s="146" t="s">
        <v>1097</v>
      </c>
      <c r="E48" s="146">
        <v>150</v>
      </c>
      <c r="F48" s="146">
        <v>1050</v>
      </c>
      <c r="G48" s="188">
        <f t="shared" si="0"/>
        <v>165</v>
      </c>
      <c r="H48" s="188">
        <f t="shared" si="1"/>
        <v>1155</v>
      </c>
      <c r="I48" s="801">
        <f t="shared" si="2"/>
        <v>165</v>
      </c>
      <c r="J48" s="801">
        <f t="shared" si="3"/>
        <v>1155</v>
      </c>
      <c r="K48" s="1683"/>
      <c r="L48" s="1683"/>
      <c r="M48" s="1683"/>
      <c r="N48" s="1683"/>
      <c r="O48" s="1679"/>
    </row>
    <row r="49" spans="1:15" ht="18">
      <c r="A49" s="799" t="s">
        <v>1094</v>
      </c>
      <c r="B49" s="798" t="s">
        <v>1099</v>
      </c>
      <c r="C49" s="798" t="s">
        <v>1096</v>
      </c>
      <c r="D49" s="146" t="s">
        <v>1097</v>
      </c>
      <c r="E49" s="146">
        <v>150</v>
      </c>
      <c r="F49" s="146">
        <v>1050</v>
      </c>
      <c r="G49" s="188">
        <f t="shared" si="0"/>
        <v>165</v>
      </c>
      <c r="H49" s="188">
        <f t="shared" si="1"/>
        <v>1155</v>
      </c>
      <c r="I49" s="801">
        <f t="shared" si="2"/>
        <v>165</v>
      </c>
      <c r="J49" s="801">
        <f t="shared" si="3"/>
        <v>1155</v>
      </c>
      <c r="K49" s="1683"/>
      <c r="L49" s="1683"/>
      <c r="M49" s="1683"/>
      <c r="N49" s="1683"/>
      <c r="O49" s="1679"/>
    </row>
    <row r="50" spans="1:15" ht="18">
      <c r="A50" s="799" t="s">
        <v>1094</v>
      </c>
      <c r="B50" s="798" t="s">
        <v>1100</v>
      </c>
      <c r="C50" s="798" t="s">
        <v>1096</v>
      </c>
      <c r="D50" s="146" t="s">
        <v>1097</v>
      </c>
      <c r="E50" s="146">
        <v>150</v>
      </c>
      <c r="F50" s="146">
        <v>1050</v>
      </c>
      <c r="G50" s="188">
        <f t="shared" si="0"/>
        <v>165</v>
      </c>
      <c r="H50" s="188">
        <f t="shared" si="1"/>
        <v>1155</v>
      </c>
      <c r="I50" s="801">
        <f t="shared" si="2"/>
        <v>165</v>
      </c>
      <c r="J50" s="801">
        <f t="shared" si="3"/>
        <v>1155</v>
      </c>
      <c r="K50" s="1683"/>
      <c r="L50" s="1683"/>
      <c r="M50" s="1683"/>
      <c r="N50" s="1683"/>
      <c r="O50" s="1679"/>
    </row>
    <row r="51" spans="1:15" ht="18">
      <c r="A51" s="799" t="s">
        <v>1094</v>
      </c>
      <c r="B51" s="798" t="s">
        <v>1101</v>
      </c>
      <c r="C51" s="798" t="s">
        <v>1096</v>
      </c>
      <c r="D51" s="146" t="s">
        <v>1097</v>
      </c>
      <c r="E51" s="146">
        <v>150</v>
      </c>
      <c r="F51" s="146">
        <v>1050</v>
      </c>
      <c r="G51" s="188">
        <f t="shared" si="0"/>
        <v>165</v>
      </c>
      <c r="H51" s="188">
        <f t="shared" si="1"/>
        <v>1155</v>
      </c>
      <c r="I51" s="801">
        <f t="shared" si="2"/>
        <v>165</v>
      </c>
      <c r="J51" s="801">
        <f t="shared" si="3"/>
        <v>1155</v>
      </c>
      <c r="K51" s="1683"/>
      <c r="L51" s="1683"/>
      <c r="M51" s="1683"/>
      <c r="N51" s="1683"/>
      <c r="O51" s="1679"/>
    </row>
    <row r="52" spans="1:15" ht="18">
      <c r="A52" s="799" t="s">
        <v>1094</v>
      </c>
      <c r="B52" s="798" t="s">
        <v>1102</v>
      </c>
      <c r="C52" s="798" t="s">
        <v>1103</v>
      </c>
      <c r="D52" s="146" t="s">
        <v>1097</v>
      </c>
      <c r="E52" s="146">
        <v>150</v>
      </c>
      <c r="F52" s="146">
        <v>1050</v>
      </c>
      <c r="G52" s="188">
        <f t="shared" si="0"/>
        <v>165</v>
      </c>
      <c r="H52" s="188">
        <f t="shared" si="1"/>
        <v>1155</v>
      </c>
      <c r="I52" s="801">
        <f t="shared" si="2"/>
        <v>165</v>
      </c>
      <c r="J52" s="801">
        <f t="shared" si="3"/>
        <v>1155</v>
      </c>
      <c r="K52" s="1683"/>
      <c r="L52" s="1683"/>
      <c r="M52" s="1683"/>
      <c r="N52" s="1683"/>
      <c r="O52" s="1679"/>
    </row>
    <row r="53" spans="1:15" ht="18">
      <c r="A53" s="799" t="s">
        <v>1094</v>
      </c>
      <c r="B53" s="798" t="s">
        <v>1104</v>
      </c>
      <c r="C53" s="798" t="s">
        <v>1105</v>
      </c>
      <c r="D53" s="146" t="s">
        <v>1097</v>
      </c>
      <c r="E53" s="146">
        <v>350</v>
      </c>
      <c r="F53" s="146">
        <v>2450</v>
      </c>
      <c r="G53" s="188">
        <f t="shared" si="0"/>
        <v>385.00000000000006</v>
      </c>
      <c r="H53" s="188">
        <f t="shared" si="1"/>
        <v>2695</v>
      </c>
      <c r="I53" s="801">
        <f t="shared" si="2"/>
        <v>385.00000000000006</v>
      </c>
      <c r="J53" s="801">
        <f t="shared" si="3"/>
        <v>2695</v>
      </c>
      <c r="K53" s="1683"/>
      <c r="L53" s="1683"/>
      <c r="M53" s="1683"/>
      <c r="N53" s="1683"/>
      <c r="O53" s="1679"/>
    </row>
    <row r="54" spans="1:15" ht="18">
      <c r="A54" s="799" t="s">
        <v>1106</v>
      </c>
      <c r="B54" s="798" t="s">
        <v>1107</v>
      </c>
      <c r="C54" s="798" t="s">
        <v>1108</v>
      </c>
      <c r="D54" s="146" t="s">
        <v>1109</v>
      </c>
      <c r="E54" s="146">
        <v>1600</v>
      </c>
      <c r="F54" s="146">
        <v>11200</v>
      </c>
      <c r="G54" s="188">
        <f t="shared" si="0"/>
        <v>1760.0000000000002</v>
      </c>
      <c r="H54" s="188">
        <f t="shared" si="1"/>
        <v>12320.000000000002</v>
      </c>
      <c r="I54" s="801">
        <f t="shared" si="2"/>
        <v>1760.0000000000002</v>
      </c>
      <c r="J54" s="801">
        <f t="shared" si="3"/>
        <v>12320.000000000002</v>
      </c>
      <c r="K54" s="1683"/>
      <c r="L54" s="1683"/>
      <c r="M54" s="1683"/>
      <c r="N54" s="1683"/>
      <c r="O54" s="1679"/>
    </row>
    <row r="55" spans="1:15" ht="18">
      <c r="A55" s="799" t="s">
        <v>1106</v>
      </c>
      <c r="B55" s="798" t="s">
        <v>1110</v>
      </c>
      <c r="C55" s="798" t="s">
        <v>1108</v>
      </c>
      <c r="D55" s="146" t="s">
        <v>1109</v>
      </c>
      <c r="E55" s="146">
        <v>1600</v>
      </c>
      <c r="F55" s="146">
        <v>11200</v>
      </c>
      <c r="G55" s="188">
        <f t="shared" si="0"/>
        <v>1760.0000000000002</v>
      </c>
      <c r="H55" s="188">
        <f t="shared" si="1"/>
        <v>12320.000000000002</v>
      </c>
      <c r="I55" s="801">
        <f t="shared" si="2"/>
        <v>1760.0000000000002</v>
      </c>
      <c r="J55" s="801">
        <f t="shared" si="3"/>
        <v>12320.000000000002</v>
      </c>
      <c r="K55" s="1683"/>
      <c r="L55" s="1683"/>
      <c r="M55" s="1683"/>
      <c r="N55" s="1683"/>
      <c r="O55" s="1679"/>
    </row>
    <row r="56" spans="1:15" ht="18">
      <c r="A56" s="799" t="s">
        <v>1106</v>
      </c>
      <c r="B56" s="798" t="s">
        <v>1111</v>
      </c>
      <c r="C56" s="798" t="s">
        <v>1112</v>
      </c>
      <c r="D56" s="146" t="s">
        <v>1109</v>
      </c>
      <c r="E56" s="146">
        <v>1600</v>
      </c>
      <c r="F56" s="146">
        <v>11200</v>
      </c>
      <c r="G56" s="188">
        <f t="shared" si="0"/>
        <v>1760.0000000000002</v>
      </c>
      <c r="H56" s="188">
        <f t="shared" si="1"/>
        <v>12320.000000000002</v>
      </c>
      <c r="I56" s="801">
        <f t="shared" si="2"/>
        <v>1760.0000000000002</v>
      </c>
      <c r="J56" s="801">
        <f t="shared" si="3"/>
        <v>12320.000000000002</v>
      </c>
      <c r="K56" s="1683"/>
      <c r="L56" s="1683"/>
      <c r="M56" s="1683"/>
      <c r="N56" s="1683"/>
      <c r="O56" s="1679"/>
    </row>
    <row r="57" spans="1:15" ht="18">
      <c r="A57" s="799" t="s">
        <v>1106</v>
      </c>
      <c r="B57" s="798" t="s">
        <v>1113</v>
      </c>
      <c r="C57" s="798" t="s">
        <v>1108</v>
      </c>
      <c r="D57" s="146" t="s">
        <v>1109</v>
      </c>
      <c r="E57" s="146">
        <v>1600</v>
      </c>
      <c r="F57" s="146">
        <v>11200</v>
      </c>
      <c r="G57" s="188">
        <f t="shared" si="0"/>
        <v>1760.0000000000002</v>
      </c>
      <c r="H57" s="188">
        <f t="shared" si="1"/>
        <v>12320.000000000002</v>
      </c>
      <c r="I57" s="801">
        <f t="shared" si="2"/>
        <v>1760.0000000000002</v>
      </c>
      <c r="J57" s="801">
        <f t="shared" si="3"/>
        <v>12320.000000000002</v>
      </c>
      <c r="K57" s="1683"/>
      <c r="L57" s="1683"/>
      <c r="M57" s="1683"/>
      <c r="N57" s="1683"/>
      <c r="O57" s="1679"/>
    </row>
    <row r="58" spans="1:15" ht="18">
      <c r="A58" s="799" t="s">
        <v>1106</v>
      </c>
      <c r="B58" s="798" t="s">
        <v>1114</v>
      </c>
      <c r="C58" s="798" t="s">
        <v>1115</v>
      </c>
      <c r="D58" s="146" t="s">
        <v>1109</v>
      </c>
      <c r="E58" s="146">
        <v>1600</v>
      </c>
      <c r="F58" s="146">
        <v>11200</v>
      </c>
      <c r="G58" s="188">
        <f t="shared" si="0"/>
        <v>1760.0000000000002</v>
      </c>
      <c r="H58" s="188">
        <f t="shared" si="1"/>
        <v>12320.000000000002</v>
      </c>
      <c r="I58" s="801">
        <f t="shared" si="2"/>
        <v>1760.0000000000002</v>
      </c>
      <c r="J58" s="801">
        <f t="shared" si="3"/>
        <v>12320.000000000002</v>
      </c>
      <c r="K58" s="1683"/>
      <c r="L58" s="1683"/>
      <c r="M58" s="1683"/>
      <c r="N58" s="1683"/>
      <c r="O58" s="1679"/>
    </row>
    <row r="59" spans="1:15" ht="18">
      <c r="A59" s="799" t="s">
        <v>1106</v>
      </c>
      <c r="B59" s="798" t="s">
        <v>1116</v>
      </c>
      <c r="C59" s="798" t="s">
        <v>1108</v>
      </c>
      <c r="D59" s="146" t="s">
        <v>1109</v>
      </c>
      <c r="E59" s="146">
        <v>1200</v>
      </c>
      <c r="F59" s="146">
        <v>8400</v>
      </c>
      <c r="G59" s="188">
        <f t="shared" si="0"/>
        <v>1320</v>
      </c>
      <c r="H59" s="188">
        <f t="shared" si="1"/>
        <v>9240</v>
      </c>
      <c r="I59" s="801">
        <f t="shared" si="2"/>
        <v>1320</v>
      </c>
      <c r="J59" s="801">
        <f t="shared" si="3"/>
        <v>9240</v>
      </c>
      <c r="K59" s="1683"/>
      <c r="L59" s="1683"/>
      <c r="M59" s="1683"/>
      <c r="N59" s="1683"/>
      <c r="O59" s="1679"/>
    </row>
    <row r="60" spans="1:15" ht="18">
      <c r="A60" s="799" t="s">
        <v>1106</v>
      </c>
      <c r="B60" s="798" t="s">
        <v>1117</v>
      </c>
      <c r="C60" s="798" t="s">
        <v>1108</v>
      </c>
      <c r="D60" s="146" t="s">
        <v>1109</v>
      </c>
      <c r="E60" s="146">
        <v>1200</v>
      </c>
      <c r="F60" s="146">
        <v>8400</v>
      </c>
      <c r="G60" s="188">
        <f t="shared" si="0"/>
        <v>1320</v>
      </c>
      <c r="H60" s="188">
        <f t="shared" si="1"/>
        <v>9240</v>
      </c>
      <c r="I60" s="801">
        <f t="shared" si="2"/>
        <v>1320</v>
      </c>
      <c r="J60" s="801">
        <f t="shared" si="3"/>
        <v>9240</v>
      </c>
      <c r="K60" s="1683"/>
      <c r="L60" s="1683"/>
      <c r="M60" s="1683"/>
      <c r="N60" s="1683"/>
      <c r="O60" s="1679"/>
    </row>
    <row r="61" spans="1:15" ht="18">
      <c r="A61" s="799" t="s">
        <v>1106</v>
      </c>
      <c r="B61" s="798" t="s">
        <v>1118</v>
      </c>
      <c r="C61" s="798" t="s">
        <v>1119</v>
      </c>
      <c r="D61" s="146" t="s">
        <v>1109</v>
      </c>
      <c r="E61" s="146">
        <v>1200</v>
      </c>
      <c r="F61" s="146">
        <v>8400</v>
      </c>
      <c r="G61" s="188">
        <f t="shared" si="0"/>
        <v>1320</v>
      </c>
      <c r="H61" s="188">
        <f t="shared" si="1"/>
        <v>9240</v>
      </c>
      <c r="I61" s="801">
        <f t="shared" si="2"/>
        <v>1320</v>
      </c>
      <c r="J61" s="801">
        <f t="shared" si="3"/>
        <v>9240</v>
      </c>
      <c r="K61" s="1683"/>
      <c r="L61" s="1683"/>
      <c r="M61" s="1683"/>
      <c r="N61" s="1683"/>
      <c r="O61" s="1679"/>
    </row>
    <row r="62" spans="1:15" ht="18">
      <c r="A62" s="799" t="s">
        <v>1120</v>
      </c>
      <c r="B62" s="798" t="s">
        <v>1121</v>
      </c>
      <c r="C62" s="798"/>
      <c r="D62" s="146" t="s">
        <v>1122</v>
      </c>
      <c r="E62" s="146">
        <v>300</v>
      </c>
      <c r="F62" s="146">
        <v>2100</v>
      </c>
      <c r="G62" s="188">
        <f t="shared" si="0"/>
        <v>330</v>
      </c>
      <c r="H62" s="188">
        <f t="shared" si="1"/>
        <v>2310</v>
      </c>
      <c r="I62" s="801">
        <f t="shared" si="2"/>
        <v>330</v>
      </c>
      <c r="J62" s="801">
        <f t="shared" si="3"/>
        <v>2310</v>
      </c>
      <c r="K62" s="1683"/>
      <c r="L62" s="1683"/>
      <c r="M62" s="1683"/>
      <c r="N62" s="1683"/>
      <c r="O62" s="1679"/>
    </row>
    <row r="63" spans="1:15" ht="18">
      <c r="A63" s="799" t="s">
        <v>1123</v>
      </c>
      <c r="B63" s="798" t="s">
        <v>1124</v>
      </c>
      <c r="C63" s="798" t="s">
        <v>1125</v>
      </c>
      <c r="D63" s="146" t="s">
        <v>1126</v>
      </c>
      <c r="E63" s="146">
        <v>180</v>
      </c>
      <c r="F63" s="146">
        <v>1260</v>
      </c>
      <c r="G63" s="188">
        <f t="shared" si="0"/>
        <v>198.00000000000003</v>
      </c>
      <c r="H63" s="188">
        <f t="shared" si="1"/>
        <v>1386</v>
      </c>
      <c r="I63" s="801">
        <f t="shared" si="2"/>
        <v>198.00000000000003</v>
      </c>
      <c r="J63" s="801">
        <f t="shared" si="3"/>
        <v>1386</v>
      </c>
      <c r="K63" s="1683"/>
      <c r="L63" s="1683"/>
      <c r="M63" s="1683"/>
      <c r="N63" s="1683"/>
      <c r="O63" s="1679"/>
    </row>
    <row r="64" spans="1:15" ht="18">
      <c r="A64" s="799" t="s">
        <v>1127</v>
      </c>
      <c r="B64" s="798" t="s">
        <v>1128</v>
      </c>
      <c r="C64" s="798" t="s">
        <v>1129</v>
      </c>
      <c r="D64" s="146" t="s">
        <v>1130</v>
      </c>
      <c r="E64" s="146">
        <v>1000</v>
      </c>
      <c r="F64" s="146">
        <v>7000</v>
      </c>
      <c r="G64" s="188">
        <f t="shared" si="0"/>
        <v>1100</v>
      </c>
      <c r="H64" s="188">
        <f t="shared" si="1"/>
        <v>7700.0000000000009</v>
      </c>
      <c r="I64" s="801">
        <f t="shared" si="2"/>
        <v>1100</v>
      </c>
      <c r="J64" s="801">
        <f t="shared" si="3"/>
        <v>7700.0000000000009</v>
      </c>
      <c r="K64" s="1683"/>
      <c r="L64" s="1683"/>
      <c r="M64" s="1683"/>
      <c r="N64" s="1683"/>
      <c r="O64" s="1679"/>
    </row>
    <row r="65" spans="1:15" ht="18">
      <c r="A65" s="799" t="s">
        <v>1127</v>
      </c>
      <c r="B65" s="798" t="s">
        <v>1131</v>
      </c>
      <c r="C65" s="798" t="s">
        <v>1129</v>
      </c>
      <c r="D65" s="146" t="s">
        <v>1130</v>
      </c>
      <c r="E65" s="146">
        <v>1000</v>
      </c>
      <c r="F65" s="146">
        <v>7000</v>
      </c>
      <c r="G65" s="188">
        <f t="shared" si="0"/>
        <v>1100</v>
      </c>
      <c r="H65" s="188">
        <f t="shared" si="1"/>
        <v>7700.0000000000009</v>
      </c>
      <c r="I65" s="801">
        <f t="shared" si="2"/>
        <v>1100</v>
      </c>
      <c r="J65" s="801">
        <f t="shared" si="3"/>
        <v>7700.0000000000009</v>
      </c>
      <c r="K65" s="1683"/>
      <c r="L65" s="1683"/>
      <c r="M65" s="1683"/>
      <c r="N65" s="1683"/>
      <c r="O65" s="1679"/>
    </row>
    <row r="66" spans="1:15" ht="18">
      <c r="A66" s="799" t="s">
        <v>1127</v>
      </c>
      <c r="B66" s="798" t="s">
        <v>1132</v>
      </c>
      <c r="C66" s="798" t="s">
        <v>1133</v>
      </c>
      <c r="D66" s="146" t="s">
        <v>1130</v>
      </c>
      <c r="E66" s="146">
        <v>1000</v>
      </c>
      <c r="F66" s="146">
        <v>7000</v>
      </c>
      <c r="G66" s="188">
        <f t="shared" si="0"/>
        <v>1100</v>
      </c>
      <c r="H66" s="188">
        <f t="shared" si="1"/>
        <v>7700.0000000000009</v>
      </c>
      <c r="I66" s="801">
        <f t="shared" si="2"/>
        <v>1100</v>
      </c>
      <c r="J66" s="801">
        <f t="shared" si="3"/>
        <v>7700.0000000000009</v>
      </c>
      <c r="K66" s="1683"/>
      <c r="L66" s="1683"/>
      <c r="M66" s="1683"/>
      <c r="N66" s="1683"/>
      <c r="O66" s="1679"/>
    </row>
    <row r="67" spans="1:15" ht="18">
      <c r="A67" s="799" t="s">
        <v>1127</v>
      </c>
      <c r="B67" s="798" t="s">
        <v>1134</v>
      </c>
      <c r="C67" s="798" t="s">
        <v>1135</v>
      </c>
      <c r="D67" s="146" t="s">
        <v>1130</v>
      </c>
      <c r="E67" s="146">
        <v>1000</v>
      </c>
      <c r="F67" s="146">
        <v>7000</v>
      </c>
      <c r="G67" s="188">
        <f t="shared" si="0"/>
        <v>1100</v>
      </c>
      <c r="H67" s="188">
        <f t="shared" si="1"/>
        <v>7700.0000000000009</v>
      </c>
      <c r="I67" s="801">
        <f t="shared" si="2"/>
        <v>1100</v>
      </c>
      <c r="J67" s="801">
        <f t="shared" si="3"/>
        <v>7700.0000000000009</v>
      </c>
      <c r="K67" s="1683"/>
      <c r="L67" s="1683"/>
      <c r="M67" s="1683"/>
      <c r="N67" s="1683"/>
      <c r="O67" s="1679"/>
    </row>
    <row r="68" spans="1:15" ht="18">
      <c r="A68" s="799" t="s">
        <v>1127</v>
      </c>
      <c r="B68" s="798" t="s">
        <v>1136</v>
      </c>
      <c r="C68" s="798" t="s">
        <v>1137</v>
      </c>
      <c r="D68" s="146" t="s">
        <v>1130</v>
      </c>
      <c r="E68" s="146">
        <v>1200</v>
      </c>
      <c r="F68" s="146">
        <v>8400</v>
      </c>
      <c r="G68" s="188">
        <f t="shared" si="0"/>
        <v>1320</v>
      </c>
      <c r="H68" s="188">
        <f t="shared" si="1"/>
        <v>9240</v>
      </c>
      <c r="I68" s="801">
        <f t="shared" si="2"/>
        <v>1320</v>
      </c>
      <c r="J68" s="801">
        <f t="shared" si="3"/>
        <v>9240</v>
      </c>
      <c r="K68" s="1683"/>
      <c r="L68" s="1683"/>
      <c r="M68" s="1683"/>
      <c r="N68" s="1683"/>
      <c r="O68" s="1679"/>
    </row>
    <row r="69" spans="1:15" ht="18">
      <c r="A69" s="799" t="s">
        <v>1127</v>
      </c>
      <c r="B69" s="798" t="s">
        <v>1138</v>
      </c>
      <c r="C69" s="798" t="s">
        <v>1139</v>
      </c>
      <c r="D69" s="146" t="s">
        <v>1130</v>
      </c>
      <c r="E69" s="146">
        <v>1200</v>
      </c>
      <c r="F69" s="146">
        <v>8400</v>
      </c>
      <c r="G69" s="188">
        <f t="shared" ref="G69:G132" si="4">E69*1.1</f>
        <v>1320</v>
      </c>
      <c r="H69" s="188">
        <f t="shared" ref="H69:H132" si="5">F69*1.1</f>
        <v>9240</v>
      </c>
      <c r="I69" s="801">
        <f t="shared" ref="I69:I132" si="6">G69</f>
        <v>1320</v>
      </c>
      <c r="J69" s="801">
        <f t="shared" ref="J69:J132" si="7">H69</f>
        <v>9240</v>
      </c>
      <c r="K69" s="1683"/>
      <c r="L69" s="1683"/>
      <c r="M69" s="1683"/>
      <c r="N69" s="1683"/>
      <c r="O69" s="1679"/>
    </row>
    <row r="70" spans="1:15" ht="18">
      <c r="A70" s="799" t="s">
        <v>1127</v>
      </c>
      <c r="B70" s="798" t="s">
        <v>1140</v>
      </c>
      <c r="C70" s="798" t="s">
        <v>1139</v>
      </c>
      <c r="D70" s="146" t="s">
        <v>1130</v>
      </c>
      <c r="E70" s="146">
        <v>1200</v>
      </c>
      <c r="F70" s="146">
        <v>8400</v>
      </c>
      <c r="G70" s="188">
        <f t="shared" si="4"/>
        <v>1320</v>
      </c>
      <c r="H70" s="188">
        <f t="shared" si="5"/>
        <v>9240</v>
      </c>
      <c r="I70" s="801">
        <f t="shared" si="6"/>
        <v>1320</v>
      </c>
      <c r="J70" s="801">
        <f t="shared" si="7"/>
        <v>9240</v>
      </c>
      <c r="K70" s="1683"/>
      <c r="L70" s="1683"/>
      <c r="M70" s="1683"/>
      <c r="N70" s="1683"/>
      <c r="O70" s="1679"/>
    </row>
    <row r="71" spans="1:15" ht="18">
      <c r="A71" s="799" t="s">
        <v>1127</v>
      </c>
      <c r="B71" s="798" t="s">
        <v>1141</v>
      </c>
      <c r="C71" s="798" t="s">
        <v>1142</v>
      </c>
      <c r="D71" s="146" t="s">
        <v>1130</v>
      </c>
      <c r="E71" s="146">
        <v>1200</v>
      </c>
      <c r="F71" s="146">
        <v>8400</v>
      </c>
      <c r="G71" s="188">
        <f t="shared" si="4"/>
        <v>1320</v>
      </c>
      <c r="H71" s="188">
        <f t="shared" si="5"/>
        <v>9240</v>
      </c>
      <c r="I71" s="801">
        <f t="shared" si="6"/>
        <v>1320</v>
      </c>
      <c r="J71" s="801">
        <f t="shared" si="7"/>
        <v>9240</v>
      </c>
      <c r="K71" s="1683"/>
      <c r="L71" s="1683"/>
      <c r="M71" s="1683"/>
      <c r="N71" s="1683"/>
      <c r="O71" s="1679"/>
    </row>
    <row r="72" spans="1:15" ht="18">
      <c r="A72" s="799" t="s">
        <v>1127</v>
      </c>
      <c r="B72" s="798" t="s">
        <v>1143</v>
      </c>
      <c r="C72" s="798" t="s">
        <v>1144</v>
      </c>
      <c r="D72" s="146" t="s">
        <v>1130</v>
      </c>
      <c r="E72" s="146">
        <v>1200</v>
      </c>
      <c r="F72" s="146">
        <v>8400</v>
      </c>
      <c r="G72" s="188">
        <f t="shared" si="4"/>
        <v>1320</v>
      </c>
      <c r="H72" s="188">
        <f t="shared" si="5"/>
        <v>9240</v>
      </c>
      <c r="I72" s="801">
        <f t="shared" si="6"/>
        <v>1320</v>
      </c>
      <c r="J72" s="801">
        <f t="shared" si="7"/>
        <v>9240</v>
      </c>
      <c r="K72" s="1683"/>
      <c r="L72" s="1683"/>
      <c r="M72" s="1683"/>
      <c r="N72" s="1683"/>
      <c r="O72" s="1679"/>
    </row>
    <row r="73" spans="1:15" ht="18">
      <c r="A73" s="799" t="s">
        <v>1127</v>
      </c>
      <c r="B73" s="798" t="s">
        <v>1145</v>
      </c>
      <c r="C73" s="798" t="s">
        <v>1144</v>
      </c>
      <c r="D73" s="146" t="s">
        <v>1130</v>
      </c>
      <c r="E73" s="146">
        <v>1200</v>
      </c>
      <c r="F73" s="146">
        <v>8400</v>
      </c>
      <c r="G73" s="188">
        <f t="shared" si="4"/>
        <v>1320</v>
      </c>
      <c r="H73" s="188">
        <f t="shared" si="5"/>
        <v>9240</v>
      </c>
      <c r="I73" s="801">
        <f t="shared" si="6"/>
        <v>1320</v>
      </c>
      <c r="J73" s="801">
        <f t="shared" si="7"/>
        <v>9240</v>
      </c>
      <c r="K73" s="1683"/>
      <c r="L73" s="1683"/>
      <c r="M73" s="1683"/>
      <c r="N73" s="1683"/>
      <c r="O73" s="1679"/>
    </row>
    <row r="74" spans="1:15" ht="18">
      <c r="A74" s="799" t="s">
        <v>1127</v>
      </c>
      <c r="B74" s="798" t="s">
        <v>1146</v>
      </c>
      <c r="C74" s="798" t="s">
        <v>1147</v>
      </c>
      <c r="D74" s="146" t="s">
        <v>1130</v>
      </c>
      <c r="E74" s="146">
        <v>1500</v>
      </c>
      <c r="F74" s="146">
        <v>10500</v>
      </c>
      <c r="G74" s="188">
        <f t="shared" si="4"/>
        <v>1650.0000000000002</v>
      </c>
      <c r="H74" s="188">
        <f t="shared" si="5"/>
        <v>11550.000000000002</v>
      </c>
      <c r="I74" s="801">
        <f t="shared" si="6"/>
        <v>1650.0000000000002</v>
      </c>
      <c r="J74" s="801">
        <f t="shared" si="7"/>
        <v>11550.000000000002</v>
      </c>
      <c r="K74" s="1683"/>
      <c r="L74" s="1683"/>
      <c r="M74" s="1683"/>
      <c r="N74" s="1683"/>
      <c r="O74" s="1679"/>
    </row>
    <row r="75" spans="1:15" ht="18">
      <c r="A75" s="799" t="s">
        <v>1127</v>
      </c>
      <c r="B75" s="798" t="s">
        <v>1148</v>
      </c>
      <c r="C75" s="798" t="s">
        <v>1149</v>
      </c>
      <c r="D75" s="146" t="s">
        <v>1130</v>
      </c>
      <c r="E75" s="146">
        <v>1500</v>
      </c>
      <c r="F75" s="146">
        <v>10500</v>
      </c>
      <c r="G75" s="188">
        <f t="shared" si="4"/>
        <v>1650.0000000000002</v>
      </c>
      <c r="H75" s="188">
        <f t="shared" si="5"/>
        <v>11550.000000000002</v>
      </c>
      <c r="I75" s="801">
        <f t="shared" si="6"/>
        <v>1650.0000000000002</v>
      </c>
      <c r="J75" s="801">
        <f t="shared" si="7"/>
        <v>11550.000000000002</v>
      </c>
      <c r="K75" s="1683"/>
      <c r="L75" s="1683"/>
      <c r="M75" s="1683"/>
      <c r="N75" s="1683"/>
      <c r="O75" s="1679"/>
    </row>
    <row r="76" spans="1:15" ht="18">
      <c r="A76" s="799" t="s">
        <v>1127</v>
      </c>
      <c r="B76" s="798" t="s">
        <v>1150</v>
      </c>
      <c r="C76" s="798" t="s">
        <v>1149</v>
      </c>
      <c r="D76" s="146" t="s">
        <v>1130</v>
      </c>
      <c r="E76" s="146">
        <v>1500</v>
      </c>
      <c r="F76" s="146">
        <v>10500</v>
      </c>
      <c r="G76" s="188">
        <f t="shared" si="4"/>
        <v>1650.0000000000002</v>
      </c>
      <c r="H76" s="188">
        <f t="shared" si="5"/>
        <v>11550.000000000002</v>
      </c>
      <c r="I76" s="801">
        <f t="shared" si="6"/>
        <v>1650.0000000000002</v>
      </c>
      <c r="J76" s="801">
        <f t="shared" si="7"/>
        <v>11550.000000000002</v>
      </c>
      <c r="K76" s="1683"/>
      <c r="L76" s="1683"/>
      <c r="M76" s="1683"/>
      <c r="N76" s="1683"/>
      <c r="O76" s="1679"/>
    </row>
    <row r="77" spans="1:15" ht="18">
      <c r="A77" s="799" t="s">
        <v>1127</v>
      </c>
      <c r="B77" s="798" t="s">
        <v>1151</v>
      </c>
      <c r="C77" s="798" t="s">
        <v>1149</v>
      </c>
      <c r="D77" s="146" t="s">
        <v>1130</v>
      </c>
      <c r="E77" s="146">
        <v>1500</v>
      </c>
      <c r="F77" s="146">
        <v>10500</v>
      </c>
      <c r="G77" s="188">
        <f t="shared" si="4"/>
        <v>1650.0000000000002</v>
      </c>
      <c r="H77" s="188">
        <f t="shared" si="5"/>
        <v>11550.000000000002</v>
      </c>
      <c r="I77" s="801">
        <f t="shared" si="6"/>
        <v>1650.0000000000002</v>
      </c>
      <c r="J77" s="801">
        <f t="shared" si="7"/>
        <v>11550.000000000002</v>
      </c>
      <c r="K77" s="1683"/>
      <c r="L77" s="1683"/>
      <c r="M77" s="1683"/>
      <c r="N77" s="1683"/>
      <c r="O77" s="1679"/>
    </row>
    <row r="78" spans="1:15" ht="18">
      <c r="A78" s="799" t="s">
        <v>1152</v>
      </c>
      <c r="B78" s="798" t="s">
        <v>1153</v>
      </c>
      <c r="C78" s="798" t="s">
        <v>1154</v>
      </c>
      <c r="D78" s="146" t="s">
        <v>1155</v>
      </c>
      <c r="E78" s="146">
        <v>1000</v>
      </c>
      <c r="F78" s="146">
        <v>7000</v>
      </c>
      <c r="G78" s="188">
        <f t="shared" si="4"/>
        <v>1100</v>
      </c>
      <c r="H78" s="188">
        <f t="shared" si="5"/>
        <v>7700.0000000000009</v>
      </c>
      <c r="I78" s="801">
        <f t="shared" si="6"/>
        <v>1100</v>
      </c>
      <c r="J78" s="801">
        <f t="shared" si="7"/>
        <v>7700.0000000000009</v>
      </c>
      <c r="K78" s="1683"/>
      <c r="L78" s="1683"/>
      <c r="M78" s="1683"/>
      <c r="N78" s="1683"/>
      <c r="O78" s="1679"/>
    </row>
    <row r="79" spans="1:15" ht="18">
      <c r="A79" s="799" t="s">
        <v>1156</v>
      </c>
      <c r="B79" s="798" t="s">
        <v>1157</v>
      </c>
      <c r="C79" s="798" t="s">
        <v>1158</v>
      </c>
      <c r="D79" s="146" t="s">
        <v>1159</v>
      </c>
      <c r="E79" s="146">
        <v>150</v>
      </c>
      <c r="F79" s="146">
        <v>1050</v>
      </c>
      <c r="G79" s="188">
        <f t="shared" si="4"/>
        <v>165</v>
      </c>
      <c r="H79" s="188">
        <f t="shared" si="5"/>
        <v>1155</v>
      </c>
      <c r="I79" s="801">
        <f t="shared" si="6"/>
        <v>165</v>
      </c>
      <c r="J79" s="801">
        <f t="shared" si="7"/>
        <v>1155</v>
      </c>
      <c r="K79" s="1683"/>
      <c r="L79" s="1683"/>
      <c r="M79" s="1683"/>
      <c r="N79" s="1683"/>
      <c r="O79" s="1679"/>
    </row>
    <row r="80" spans="1:15" ht="18">
      <c r="A80" s="799" t="s">
        <v>1156</v>
      </c>
      <c r="B80" s="798" t="s">
        <v>1160</v>
      </c>
      <c r="C80" s="798" t="s">
        <v>1158</v>
      </c>
      <c r="D80" s="146" t="s">
        <v>1159</v>
      </c>
      <c r="E80" s="146">
        <v>150</v>
      </c>
      <c r="F80" s="146">
        <v>1050</v>
      </c>
      <c r="G80" s="188">
        <f t="shared" si="4"/>
        <v>165</v>
      </c>
      <c r="H80" s="188">
        <f t="shared" si="5"/>
        <v>1155</v>
      </c>
      <c r="I80" s="801">
        <f t="shared" si="6"/>
        <v>165</v>
      </c>
      <c r="J80" s="801">
        <f t="shared" si="7"/>
        <v>1155</v>
      </c>
      <c r="K80" s="1683"/>
      <c r="L80" s="1683"/>
      <c r="M80" s="1683"/>
      <c r="N80" s="1683"/>
      <c r="O80" s="1679"/>
    </row>
    <row r="81" spans="1:15" ht="18">
      <c r="A81" s="799" t="s">
        <v>1156</v>
      </c>
      <c r="B81" s="798" t="s">
        <v>1157</v>
      </c>
      <c r="C81" s="798" t="s">
        <v>1161</v>
      </c>
      <c r="D81" s="146" t="s">
        <v>1159</v>
      </c>
      <c r="E81" s="146">
        <v>200</v>
      </c>
      <c r="F81" s="146">
        <v>1400</v>
      </c>
      <c r="G81" s="188">
        <f t="shared" si="4"/>
        <v>220.00000000000003</v>
      </c>
      <c r="H81" s="188">
        <f t="shared" si="5"/>
        <v>1540.0000000000002</v>
      </c>
      <c r="I81" s="801">
        <f t="shared" si="6"/>
        <v>220.00000000000003</v>
      </c>
      <c r="J81" s="801">
        <f t="shared" si="7"/>
        <v>1540.0000000000002</v>
      </c>
      <c r="K81" s="1683"/>
      <c r="L81" s="1683"/>
      <c r="M81" s="1683"/>
      <c r="N81" s="1683"/>
      <c r="O81" s="1679"/>
    </row>
    <row r="82" spans="1:15" ht="18">
      <c r="A82" s="799" t="s">
        <v>1156</v>
      </c>
      <c r="B82" s="798" t="s">
        <v>1162</v>
      </c>
      <c r="C82" s="798" t="s">
        <v>1163</v>
      </c>
      <c r="D82" s="146" t="s">
        <v>1159</v>
      </c>
      <c r="E82" s="146">
        <v>200</v>
      </c>
      <c r="F82" s="146">
        <v>1400</v>
      </c>
      <c r="G82" s="188">
        <f t="shared" si="4"/>
        <v>220.00000000000003</v>
      </c>
      <c r="H82" s="188">
        <f t="shared" si="5"/>
        <v>1540.0000000000002</v>
      </c>
      <c r="I82" s="801">
        <f t="shared" si="6"/>
        <v>220.00000000000003</v>
      </c>
      <c r="J82" s="801">
        <f t="shared" si="7"/>
        <v>1540.0000000000002</v>
      </c>
      <c r="K82" s="1683"/>
      <c r="L82" s="1683"/>
      <c r="M82" s="1683"/>
      <c r="N82" s="1683"/>
      <c r="O82" s="1679"/>
    </row>
    <row r="83" spans="1:15" ht="18">
      <c r="A83" s="799" t="s">
        <v>1164</v>
      </c>
      <c r="B83" s="798"/>
      <c r="C83" s="798" t="s">
        <v>1165</v>
      </c>
      <c r="D83" s="146" t="s">
        <v>1159</v>
      </c>
      <c r="E83" s="146">
        <v>150</v>
      </c>
      <c r="F83" s="146">
        <v>1050</v>
      </c>
      <c r="G83" s="188">
        <f t="shared" si="4"/>
        <v>165</v>
      </c>
      <c r="H83" s="188">
        <f t="shared" si="5"/>
        <v>1155</v>
      </c>
      <c r="I83" s="801">
        <f t="shared" si="6"/>
        <v>165</v>
      </c>
      <c r="J83" s="801">
        <f t="shared" si="7"/>
        <v>1155</v>
      </c>
      <c r="K83" s="1683"/>
      <c r="L83" s="1683"/>
      <c r="M83" s="1683"/>
      <c r="N83" s="1683"/>
      <c r="O83" s="1679"/>
    </row>
    <row r="84" spans="1:15" ht="18">
      <c r="A84" s="799" t="s">
        <v>1164</v>
      </c>
      <c r="B84" s="798"/>
      <c r="C84" s="798" t="s">
        <v>1166</v>
      </c>
      <c r="D84" s="146" t="s">
        <v>1159</v>
      </c>
      <c r="E84" s="146">
        <v>150</v>
      </c>
      <c r="F84" s="146">
        <v>1050</v>
      </c>
      <c r="G84" s="188">
        <f t="shared" si="4"/>
        <v>165</v>
      </c>
      <c r="H84" s="188">
        <f t="shared" si="5"/>
        <v>1155</v>
      </c>
      <c r="I84" s="801">
        <f t="shared" si="6"/>
        <v>165</v>
      </c>
      <c r="J84" s="801">
        <f t="shared" si="7"/>
        <v>1155</v>
      </c>
      <c r="K84" s="1683"/>
      <c r="L84" s="1683"/>
      <c r="M84" s="1683"/>
      <c r="N84" s="1683"/>
      <c r="O84" s="1679"/>
    </row>
    <row r="85" spans="1:15" ht="18">
      <c r="A85" s="799" t="s">
        <v>1167</v>
      </c>
      <c r="B85" s="798"/>
      <c r="C85" s="798" t="s">
        <v>1168</v>
      </c>
      <c r="D85" s="146" t="s">
        <v>1169</v>
      </c>
      <c r="E85" s="146">
        <v>3000</v>
      </c>
      <c r="F85" s="146">
        <v>21000</v>
      </c>
      <c r="G85" s="188">
        <f t="shared" si="4"/>
        <v>3300.0000000000005</v>
      </c>
      <c r="H85" s="188">
        <f t="shared" si="5"/>
        <v>23100.000000000004</v>
      </c>
      <c r="I85" s="801">
        <f t="shared" si="6"/>
        <v>3300.0000000000005</v>
      </c>
      <c r="J85" s="801">
        <f t="shared" si="7"/>
        <v>23100.000000000004</v>
      </c>
      <c r="K85" s="1683"/>
      <c r="L85" s="1683"/>
      <c r="M85" s="1683"/>
      <c r="N85" s="1683"/>
      <c r="O85" s="1679"/>
    </row>
    <row r="86" spans="1:15" ht="18">
      <c r="A86" s="799" t="s">
        <v>1170</v>
      </c>
      <c r="B86" s="798" t="s">
        <v>1171</v>
      </c>
      <c r="C86" s="798" t="s">
        <v>1172</v>
      </c>
      <c r="D86" s="146" t="s">
        <v>1173</v>
      </c>
      <c r="E86" s="146">
        <v>500</v>
      </c>
      <c r="F86" s="146">
        <v>3500</v>
      </c>
      <c r="G86" s="188">
        <f t="shared" si="4"/>
        <v>550</v>
      </c>
      <c r="H86" s="188">
        <f t="shared" si="5"/>
        <v>3850.0000000000005</v>
      </c>
      <c r="I86" s="801">
        <f t="shared" si="6"/>
        <v>550</v>
      </c>
      <c r="J86" s="801">
        <f t="shared" si="7"/>
        <v>3850.0000000000005</v>
      </c>
      <c r="K86" s="1683"/>
      <c r="L86" s="1683"/>
      <c r="M86" s="1683"/>
      <c r="N86" s="1683"/>
      <c r="O86" s="1679"/>
    </row>
    <row r="87" spans="1:15" ht="18">
      <c r="A87" s="799" t="s">
        <v>1170</v>
      </c>
      <c r="B87" s="798" t="s">
        <v>1174</v>
      </c>
      <c r="C87" s="798" t="s">
        <v>1172</v>
      </c>
      <c r="D87" s="146" t="s">
        <v>1173</v>
      </c>
      <c r="E87" s="146">
        <v>500</v>
      </c>
      <c r="F87" s="146">
        <v>3500</v>
      </c>
      <c r="G87" s="188">
        <f t="shared" si="4"/>
        <v>550</v>
      </c>
      <c r="H87" s="188">
        <f t="shared" si="5"/>
        <v>3850.0000000000005</v>
      </c>
      <c r="I87" s="801">
        <f t="shared" si="6"/>
        <v>550</v>
      </c>
      <c r="J87" s="801">
        <f t="shared" si="7"/>
        <v>3850.0000000000005</v>
      </c>
      <c r="K87" s="1683"/>
      <c r="L87" s="1683"/>
      <c r="M87" s="1683"/>
      <c r="N87" s="1683"/>
      <c r="O87" s="1679"/>
    </row>
    <row r="88" spans="1:15" ht="18">
      <c r="A88" s="799" t="s">
        <v>1170</v>
      </c>
      <c r="B88" s="798" t="s">
        <v>1175</v>
      </c>
      <c r="C88" s="798" t="s">
        <v>1172</v>
      </c>
      <c r="D88" s="146" t="s">
        <v>1173</v>
      </c>
      <c r="E88" s="146">
        <v>500</v>
      </c>
      <c r="F88" s="146">
        <v>3500</v>
      </c>
      <c r="G88" s="188">
        <f t="shared" si="4"/>
        <v>550</v>
      </c>
      <c r="H88" s="188">
        <f t="shared" si="5"/>
        <v>3850.0000000000005</v>
      </c>
      <c r="I88" s="801">
        <f t="shared" si="6"/>
        <v>550</v>
      </c>
      <c r="J88" s="801">
        <f t="shared" si="7"/>
        <v>3850.0000000000005</v>
      </c>
      <c r="K88" s="1683"/>
      <c r="L88" s="1683"/>
      <c r="M88" s="1683"/>
      <c r="N88" s="1683"/>
      <c r="O88" s="1679"/>
    </row>
    <row r="89" spans="1:15" ht="18">
      <c r="A89" s="799" t="s">
        <v>1170</v>
      </c>
      <c r="B89" s="798" t="s">
        <v>1176</v>
      </c>
      <c r="C89" s="798" t="s">
        <v>1172</v>
      </c>
      <c r="D89" s="146" t="s">
        <v>1173</v>
      </c>
      <c r="E89" s="146">
        <v>500</v>
      </c>
      <c r="F89" s="146">
        <v>3500</v>
      </c>
      <c r="G89" s="188">
        <f t="shared" si="4"/>
        <v>550</v>
      </c>
      <c r="H89" s="188">
        <f t="shared" si="5"/>
        <v>3850.0000000000005</v>
      </c>
      <c r="I89" s="801">
        <f t="shared" si="6"/>
        <v>550</v>
      </c>
      <c r="J89" s="801">
        <f t="shared" si="7"/>
        <v>3850.0000000000005</v>
      </c>
      <c r="K89" s="1683"/>
      <c r="L89" s="1683"/>
      <c r="M89" s="1683"/>
      <c r="N89" s="1683"/>
      <c r="O89" s="1679"/>
    </row>
    <row r="90" spans="1:15" ht="18">
      <c r="A90" s="799" t="s">
        <v>1170</v>
      </c>
      <c r="B90" s="798" t="s">
        <v>1177</v>
      </c>
      <c r="C90" s="798" t="s">
        <v>1172</v>
      </c>
      <c r="D90" s="146" t="s">
        <v>1173</v>
      </c>
      <c r="E90" s="146">
        <v>500</v>
      </c>
      <c r="F90" s="146">
        <v>3500</v>
      </c>
      <c r="G90" s="188">
        <f t="shared" si="4"/>
        <v>550</v>
      </c>
      <c r="H90" s="188">
        <f t="shared" si="5"/>
        <v>3850.0000000000005</v>
      </c>
      <c r="I90" s="801">
        <f t="shared" si="6"/>
        <v>550</v>
      </c>
      <c r="J90" s="801">
        <f t="shared" si="7"/>
        <v>3850.0000000000005</v>
      </c>
      <c r="K90" s="1683"/>
      <c r="L90" s="1683"/>
      <c r="M90" s="1683"/>
      <c r="N90" s="1683"/>
      <c r="O90" s="1679"/>
    </row>
    <row r="91" spans="1:15" ht="18">
      <c r="A91" s="799" t="s">
        <v>1170</v>
      </c>
      <c r="B91" s="798" t="s">
        <v>1178</v>
      </c>
      <c r="C91" s="798" t="s">
        <v>1172</v>
      </c>
      <c r="D91" s="146" t="s">
        <v>1173</v>
      </c>
      <c r="E91" s="146">
        <v>500</v>
      </c>
      <c r="F91" s="146">
        <v>3500</v>
      </c>
      <c r="G91" s="188">
        <f t="shared" si="4"/>
        <v>550</v>
      </c>
      <c r="H91" s="188">
        <f t="shared" si="5"/>
        <v>3850.0000000000005</v>
      </c>
      <c r="I91" s="801">
        <f t="shared" si="6"/>
        <v>550</v>
      </c>
      <c r="J91" s="801">
        <f t="shared" si="7"/>
        <v>3850.0000000000005</v>
      </c>
      <c r="K91" s="1683"/>
      <c r="L91" s="1683"/>
      <c r="M91" s="1683"/>
      <c r="N91" s="1683"/>
      <c r="O91" s="1679"/>
    </row>
    <row r="92" spans="1:15" ht="18">
      <c r="A92" s="799" t="s">
        <v>1170</v>
      </c>
      <c r="B92" s="798" t="s">
        <v>1179</v>
      </c>
      <c r="C92" s="798" t="s">
        <v>1172</v>
      </c>
      <c r="D92" s="146" t="s">
        <v>1173</v>
      </c>
      <c r="E92" s="146">
        <v>500</v>
      </c>
      <c r="F92" s="146">
        <v>3500</v>
      </c>
      <c r="G92" s="188">
        <f t="shared" si="4"/>
        <v>550</v>
      </c>
      <c r="H92" s="188">
        <f t="shared" si="5"/>
        <v>3850.0000000000005</v>
      </c>
      <c r="I92" s="801">
        <f t="shared" si="6"/>
        <v>550</v>
      </c>
      <c r="J92" s="801">
        <f t="shared" si="7"/>
        <v>3850.0000000000005</v>
      </c>
      <c r="K92" s="1683"/>
      <c r="L92" s="1683"/>
      <c r="M92" s="1683"/>
      <c r="N92" s="1683"/>
      <c r="O92" s="1679"/>
    </row>
    <row r="93" spans="1:15" ht="18">
      <c r="A93" s="799" t="s">
        <v>1170</v>
      </c>
      <c r="B93" s="798" t="s">
        <v>1180</v>
      </c>
      <c r="C93" s="798" t="s">
        <v>1172</v>
      </c>
      <c r="D93" s="146" t="s">
        <v>1173</v>
      </c>
      <c r="E93" s="146">
        <v>500</v>
      </c>
      <c r="F93" s="146">
        <v>3500</v>
      </c>
      <c r="G93" s="188">
        <f t="shared" si="4"/>
        <v>550</v>
      </c>
      <c r="H93" s="188">
        <f t="shared" si="5"/>
        <v>3850.0000000000005</v>
      </c>
      <c r="I93" s="801">
        <f t="shared" si="6"/>
        <v>550</v>
      </c>
      <c r="J93" s="801">
        <f t="shared" si="7"/>
        <v>3850.0000000000005</v>
      </c>
      <c r="K93" s="1683"/>
      <c r="L93" s="1683"/>
      <c r="M93" s="1683"/>
      <c r="N93" s="1683"/>
      <c r="O93" s="1679"/>
    </row>
    <row r="94" spans="1:15" ht="18">
      <c r="A94" s="799" t="s">
        <v>1181</v>
      </c>
      <c r="B94" s="798" t="s">
        <v>1182</v>
      </c>
      <c r="C94" s="798" t="s">
        <v>1183</v>
      </c>
      <c r="D94" s="146" t="s">
        <v>1184</v>
      </c>
      <c r="E94" s="146">
        <v>1200</v>
      </c>
      <c r="F94" s="146">
        <v>8400</v>
      </c>
      <c r="G94" s="188">
        <f t="shared" si="4"/>
        <v>1320</v>
      </c>
      <c r="H94" s="188">
        <f t="shared" si="5"/>
        <v>9240</v>
      </c>
      <c r="I94" s="801">
        <f t="shared" si="6"/>
        <v>1320</v>
      </c>
      <c r="J94" s="801">
        <f t="shared" si="7"/>
        <v>9240</v>
      </c>
      <c r="K94" s="1683"/>
      <c r="L94" s="1683"/>
      <c r="M94" s="1683"/>
      <c r="N94" s="1683"/>
      <c r="O94" s="1679"/>
    </row>
    <row r="95" spans="1:15" ht="18">
      <c r="A95" s="799" t="s">
        <v>1181</v>
      </c>
      <c r="B95" s="798" t="s">
        <v>1185</v>
      </c>
      <c r="C95" s="798" t="s">
        <v>1183</v>
      </c>
      <c r="D95" s="146" t="s">
        <v>1184</v>
      </c>
      <c r="E95" s="146">
        <v>1200</v>
      </c>
      <c r="F95" s="146">
        <v>8400</v>
      </c>
      <c r="G95" s="188">
        <f t="shared" si="4"/>
        <v>1320</v>
      </c>
      <c r="H95" s="188">
        <f t="shared" si="5"/>
        <v>9240</v>
      </c>
      <c r="I95" s="801">
        <f t="shared" si="6"/>
        <v>1320</v>
      </c>
      <c r="J95" s="801">
        <f t="shared" si="7"/>
        <v>9240</v>
      </c>
      <c r="K95" s="1683"/>
      <c r="L95" s="1683"/>
      <c r="M95" s="1683"/>
      <c r="N95" s="1683"/>
      <c r="O95" s="1679"/>
    </row>
    <row r="96" spans="1:15" ht="18">
      <c r="A96" s="799" t="s">
        <v>1181</v>
      </c>
      <c r="B96" s="798" t="s">
        <v>1186</v>
      </c>
      <c r="C96" s="798" t="s">
        <v>1183</v>
      </c>
      <c r="D96" s="146" t="s">
        <v>1184</v>
      </c>
      <c r="E96" s="146">
        <v>1200</v>
      </c>
      <c r="F96" s="146">
        <v>8400</v>
      </c>
      <c r="G96" s="188">
        <f t="shared" si="4"/>
        <v>1320</v>
      </c>
      <c r="H96" s="188">
        <f t="shared" si="5"/>
        <v>9240</v>
      </c>
      <c r="I96" s="801">
        <f t="shared" si="6"/>
        <v>1320</v>
      </c>
      <c r="J96" s="801">
        <f t="shared" si="7"/>
        <v>9240</v>
      </c>
      <c r="K96" s="1683"/>
      <c r="L96" s="1683"/>
      <c r="M96" s="1683"/>
      <c r="N96" s="1683"/>
      <c r="O96" s="1679"/>
    </row>
    <row r="97" spans="1:15" ht="18">
      <c r="A97" s="799" t="s">
        <v>1181</v>
      </c>
      <c r="B97" s="798" t="s">
        <v>1187</v>
      </c>
      <c r="C97" s="798" t="s">
        <v>1183</v>
      </c>
      <c r="D97" s="146" t="s">
        <v>1184</v>
      </c>
      <c r="E97" s="146">
        <v>1200</v>
      </c>
      <c r="F97" s="146">
        <v>8400</v>
      </c>
      <c r="G97" s="188">
        <f t="shared" si="4"/>
        <v>1320</v>
      </c>
      <c r="H97" s="188">
        <f t="shared" si="5"/>
        <v>9240</v>
      </c>
      <c r="I97" s="801">
        <f t="shared" si="6"/>
        <v>1320</v>
      </c>
      <c r="J97" s="801">
        <f t="shared" si="7"/>
        <v>9240</v>
      </c>
      <c r="K97" s="1683"/>
      <c r="L97" s="1683"/>
      <c r="M97" s="1683"/>
      <c r="N97" s="1683"/>
      <c r="O97" s="1679"/>
    </row>
    <row r="98" spans="1:15" ht="18">
      <c r="A98" s="799" t="s">
        <v>1181</v>
      </c>
      <c r="B98" s="798" t="s">
        <v>1188</v>
      </c>
      <c r="C98" s="798" t="s">
        <v>1183</v>
      </c>
      <c r="D98" s="146" t="s">
        <v>1184</v>
      </c>
      <c r="E98" s="146">
        <v>1000</v>
      </c>
      <c r="F98" s="146">
        <v>7000</v>
      </c>
      <c r="G98" s="188">
        <f t="shared" si="4"/>
        <v>1100</v>
      </c>
      <c r="H98" s="188">
        <f t="shared" si="5"/>
        <v>7700.0000000000009</v>
      </c>
      <c r="I98" s="801">
        <f t="shared" si="6"/>
        <v>1100</v>
      </c>
      <c r="J98" s="801">
        <f t="shared" si="7"/>
        <v>7700.0000000000009</v>
      </c>
      <c r="K98" s="1683"/>
      <c r="L98" s="1683"/>
      <c r="M98" s="1683"/>
      <c r="N98" s="1683"/>
      <c r="O98" s="1679"/>
    </row>
    <row r="99" spans="1:15" ht="18">
      <c r="A99" s="799" t="s">
        <v>1189</v>
      </c>
      <c r="B99" s="798" t="s">
        <v>1190</v>
      </c>
      <c r="C99" s="798" t="s">
        <v>1191</v>
      </c>
      <c r="D99" s="146" t="s">
        <v>1192</v>
      </c>
      <c r="E99" s="146">
        <v>400</v>
      </c>
      <c r="F99" s="146">
        <v>2800</v>
      </c>
      <c r="G99" s="188">
        <f t="shared" si="4"/>
        <v>440.00000000000006</v>
      </c>
      <c r="H99" s="188">
        <f t="shared" si="5"/>
        <v>3080.0000000000005</v>
      </c>
      <c r="I99" s="801">
        <f t="shared" si="6"/>
        <v>440.00000000000006</v>
      </c>
      <c r="J99" s="801">
        <f t="shared" si="7"/>
        <v>3080.0000000000005</v>
      </c>
      <c r="K99" s="1683"/>
      <c r="L99" s="1683"/>
      <c r="M99" s="1683"/>
      <c r="N99" s="1683"/>
      <c r="O99" s="1679"/>
    </row>
    <row r="100" spans="1:15" ht="18">
      <c r="A100" s="799" t="s">
        <v>1189</v>
      </c>
      <c r="B100" s="798" t="s">
        <v>1193</v>
      </c>
      <c r="C100" s="798" t="s">
        <v>1191</v>
      </c>
      <c r="D100" s="146" t="s">
        <v>1192</v>
      </c>
      <c r="E100" s="146">
        <v>400</v>
      </c>
      <c r="F100" s="146">
        <v>2800</v>
      </c>
      <c r="G100" s="188">
        <f t="shared" si="4"/>
        <v>440.00000000000006</v>
      </c>
      <c r="H100" s="188">
        <f t="shared" si="5"/>
        <v>3080.0000000000005</v>
      </c>
      <c r="I100" s="801">
        <f t="shared" si="6"/>
        <v>440.00000000000006</v>
      </c>
      <c r="J100" s="801">
        <f t="shared" si="7"/>
        <v>3080.0000000000005</v>
      </c>
      <c r="K100" s="1683"/>
      <c r="L100" s="1683"/>
      <c r="M100" s="1683"/>
      <c r="N100" s="1683"/>
      <c r="O100" s="1679"/>
    </row>
    <row r="101" spans="1:15" ht="18">
      <c r="A101" s="799" t="s">
        <v>1189</v>
      </c>
      <c r="B101" s="798" t="s">
        <v>1194</v>
      </c>
      <c r="C101" s="798" t="s">
        <v>1191</v>
      </c>
      <c r="D101" s="146" t="s">
        <v>1192</v>
      </c>
      <c r="E101" s="146">
        <v>300</v>
      </c>
      <c r="F101" s="146">
        <v>2100</v>
      </c>
      <c r="G101" s="188">
        <f t="shared" si="4"/>
        <v>330</v>
      </c>
      <c r="H101" s="188">
        <f t="shared" si="5"/>
        <v>2310</v>
      </c>
      <c r="I101" s="801">
        <f t="shared" si="6"/>
        <v>330</v>
      </c>
      <c r="J101" s="801">
        <f t="shared" si="7"/>
        <v>2310</v>
      </c>
      <c r="K101" s="1683"/>
      <c r="L101" s="1683"/>
      <c r="M101" s="1683"/>
      <c r="N101" s="1683"/>
      <c r="O101" s="1679"/>
    </row>
    <row r="102" spans="1:15" ht="18">
      <c r="A102" s="799" t="s">
        <v>1189</v>
      </c>
      <c r="B102" s="798" t="s">
        <v>1195</v>
      </c>
      <c r="C102" s="798" t="s">
        <v>1191</v>
      </c>
      <c r="D102" s="146" t="s">
        <v>1192</v>
      </c>
      <c r="E102" s="146">
        <v>300</v>
      </c>
      <c r="F102" s="146">
        <v>2100</v>
      </c>
      <c r="G102" s="188">
        <f t="shared" si="4"/>
        <v>330</v>
      </c>
      <c r="H102" s="188">
        <f t="shared" si="5"/>
        <v>2310</v>
      </c>
      <c r="I102" s="801">
        <f t="shared" si="6"/>
        <v>330</v>
      </c>
      <c r="J102" s="801">
        <f t="shared" si="7"/>
        <v>2310</v>
      </c>
      <c r="K102" s="1683"/>
      <c r="L102" s="1683"/>
      <c r="M102" s="1683"/>
      <c r="N102" s="1683"/>
      <c r="O102" s="1679"/>
    </row>
    <row r="103" spans="1:15" ht="18">
      <c r="A103" s="799" t="s">
        <v>1189</v>
      </c>
      <c r="B103" s="798" t="s">
        <v>1196</v>
      </c>
      <c r="C103" s="798" t="s">
        <v>1191</v>
      </c>
      <c r="D103" s="146" t="s">
        <v>1192</v>
      </c>
      <c r="E103" s="146">
        <v>300</v>
      </c>
      <c r="F103" s="146">
        <v>2100</v>
      </c>
      <c r="G103" s="188">
        <f t="shared" si="4"/>
        <v>330</v>
      </c>
      <c r="H103" s="188">
        <f t="shared" si="5"/>
        <v>2310</v>
      </c>
      <c r="I103" s="801">
        <f t="shared" si="6"/>
        <v>330</v>
      </c>
      <c r="J103" s="801">
        <f t="shared" si="7"/>
        <v>2310</v>
      </c>
      <c r="K103" s="1683"/>
      <c r="L103" s="1683"/>
      <c r="M103" s="1683"/>
      <c r="N103" s="1683"/>
      <c r="O103" s="1679"/>
    </row>
    <row r="104" spans="1:15" ht="18">
      <c r="A104" s="799" t="s">
        <v>1189</v>
      </c>
      <c r="B104" s="798" t="s">
        <v>1197</v>
      </c>
      <c r="C104" s="798" t="s">
        <v>1191</v>
      </c>
      <c r="D104" s="146" t="s">
        <v>1192</v>
      </c>
      <c r="E104" s="146">
        <v>300</v>
      </c>
      <c r="F104" s="146">
        <v>2100</v>
      </c>
      <c r="G104" s="188">
        <f t="shared" si="4"/>
        <v>330</v>
      </c>
      <c r="H104" s="188">
        <f t="shared" si="5"/>
        <v>2310</v>
      </c>
      <c r="I104" s="801">
        <f t="shared" si="6"/>
        <v>330</v>
      </c>
      <c r="J104" s="801">
        <f t="shared" si="7"/>
        <v>2310</v>
      </c>
      <c r="K104" s="1683"/>
      <c r="L104" s="1683"/>
      <c r="M104" s="1683"/>
      <c r="N104" s="1683"/>
      <c r="O104" s="1679"/>
    </row>
    <row r="105" spans="1:15" ht="18">
      <c r="A105" s="799" t="s">
        <v>1189</v>
      </c>
      <c r="B105" s="798" t="s">
        <v>1198</v>
      </c>
      <c r="C105" s="798" t="s">
        <v>1191</v>
      </c>
      <c r="D105" s="146" t="s">
        <v>1192</v>
      </c>
      <c r="E105" s="146">
        <v>300</v>
      </c>
      <c r="F105" s="146">
        <v>2100</v>
      </c>
      <c r="G105" s="188">
        <f t="shared" si="4"/>
        <v>330</v>
      </c>
      <c r="H105" s="188">
        <f t="shared" si="5"/>
        <v>2310</v>
      </c>
      <c r="I105" s="801">
        <f t="shared" si="6"/>
        <v>330</v>
      </c>
      <c r="J105" s="801">
        <f t="shared" si="7"/>
        <v>2310</v>
      </c>
      <c r="K105" s="1683"/>
      <c r="L105" s="1683"/>
      <c r="M105" s="1683"/>
      <c r="N105" s="1683"/>
      <c r="O105" s="1679"/>
    </row>
    <row r="106" spans="1:15" ht="18">
      <c r="A106" s="799" t="s">
        <v>1189</v>
      </c>
      <c r="B106" s="798" t="s">
        <v>1199</v>
      </c>
      <c r="C106" s="798" t="s">
        <v>1191</v>
      </c>
      <c r="D106" s="146" t="s">
        <v>1192</v>
      </c>
      <c r="E106" s="146">
        <v>300</v>
      </c>
      <c r="F106" s="146">
        <v>2100</v>
      </c>
      <c r="G106" s="188">
        <f t="shared" si="4"/>
        <v>330</v>
      </c>
      <c r="H106" s="188">
        <f t="shared" si="5"/>
        <v>2310</v>
      </c>
      <c r="I106" s="801">
        <f t="shared" si="6"/>
        <v>330</v>
      </c>
      <c r="J106" s="801">
        <f t="shared" si="7"/>
        <v>2310</v>
      </c>
      <c r="K106" s="1683"/>
      <c r="L106" s="1683"/>
      <c r="M106" s="1683"/>
      <c r="N106" s="1683"/>
      <c r="O106" s="1679"/>
    </row>
    <row r="107" spans="1:15" ht="18">
      <c r="A107" s="799" t="s">
        <v>1189</v>
      </c>
      <c r="B107" s="798" t="s">
        <v>1200</v>
      </c>
      <c r="C107" s="798" t="s">
        <v>1191</v>
      </c>
      <c r="D107" s="146" t="s">
        <v>1192</v>
      </c>
      <c r="E107" s="146">
        <v>300</v>
      </c>
      <c r="F107" s="146">
        <v>2100</v>
      </c>
      <c r="G107" s="188">
        <f t="shared" si="4"/>
        <v>330</v>
      </c>
      <c r="H107" s="188">
        <f t="shared" si="5"/>
        <v>2310</v>
      </c>
      <c r="I107" s="801">
        <f t="shared" si="6"/>
        <v>330</v>
      </c>
      <c r="J107" s="801">
        <f t="shared" si="7"/>
        <v>2310</v>
      </c>
      <c r="K107" s="1683"/>
      <c r="L107" s="1683"/>
      <c r="M107" s="1683"/>
      <c r="N107" s="1683"/>
      <c r="O107" s="1679"/>
    </row>
    <row r="108" spans="1:15" ht="18">
      <c r="A108" s="799" t="s">
        <v>1201</v>
      </c>
      <c r="B108" s="798" t="s">
        <v>1202</v>
      </c>
      <c r="C108" s="798" t="s">
        <v>1009</v>
      </c>
      <c r="D108" s="146" t="s">
        <v>1203</v>
      </c>
      <c r="E108" s="146">
        <v>700</v>
      </c>
      <c r="F108" s="146">
        <v>4900</v>
      </c>
      <c r="G108" s="188">
        <f t="shared" si="4"/>
        <v>770.00000000000011</v>
      </c>
      <c r="H108" s="188">
        <f t="shared" si="5"/>
        <v>5390</v>
      </c>
      <c r="I108" s="801">
        <f t="shared" si="6"/>
        <v>770.00000000000011</v>
      </c>
      <c r="J108" s="801">
        <f t="shared" si="7"/>
        <v>5390</v>
      </c>
      <c r="K108" s="1683"/>
      <c r="L108" s="1683"/>
      <c r="M108" s="1683"/>
      <c r="N108" s="1683"/>
      <c r="O108" s="1679"/>
    </row>
    <row r="109" spans="1:15" ht="18">
      <c r="A109" s="799" t="s">
        <v>1204</v>
      </c>
      <c r="B109" s="798" t="s">
        <v>1205</v>
      </c>
      <c r="C109" s="798" t="s">
        <v>1206</v>
      </c>
      <c r="D109" s="146" t="s">
        <v>1207</v>
      </c>
      <c r="E109" s="146">
        <v>550</v>
      </c>
      <c r="F109" s="146">
        <v>3850</v>
      </c>
      <c r="G109" s="188">
        <f t="shared" si="4"/>
        <v>605</v>
      </c>
      <c r="H109" s="188">
        <f t="shared" si="5"/>
        <v>4235</v>
      </c>
      <c r="I109" s="801">
        <f t="shared" si="6"/>
        <v>605</v>
      </c>
      <c r="J109" s="801">
        <f t="shared" si="7"/>
        <v>4235</v>
      </c>
      <c r="K109" s="1683"/>
      <c r="L109" s="1683"/>
      <c r="M109" s="1683"/>
      <c r="N109" s="1683"/>
      <c r="O109" s="1679"/>
    </row>
    <row r="110" spans="1:15" ht="18">
      <c r="A110" s="799" t="s">
        <v>1204</v>
      </c>
      <c r="B110" s="798" t="s">
        <v>1208</v>
      </c>
      <c r="C110" s="798" t="s">
        <v>1209</v>
      </c>
      <c r="D110" s="146" t="s">
        <v>1207</v>
      </c>
      <c r="E110" s="146">
        <v>800</v>
      </c>
      <c r="F110" s="146">
        <v>5600</v>
      </c>
      <c r="G110" s="188">
        <f t="shared" si="4"/>
        <v>880.00000000000011</v>
      </c>
      <c r="H110" s="188">
        <f t="shared" si="5"/>
        <v>6160.0000000000009</v>
      </c>
      <c r="I110" s="801">
        <f t="shared" si="6"/>
        <v>880.00000000000011</v>
      </c>
      <c r="J110" s="801">
        <f t="shared" si="7"/>
        <v>6160.0000000000009</v>
      </c>
      <c r="K110" s="1683"/>
      <c r="L110" s="1683"/>
      <c r="M110" s="1683"/>
      <c r="N110" s="1683"/>
      <c r="O110" s="1679"/>
    </row>
    <row r="111" spans="1:15" ht="18">
      <c r="A111" s="799" t="s">
        <v>1204</v>
      </c>
      <c r="B111" s="798" t="s">
        <v>1210</v>
      </c>
      <c r="C111" s="798" t="s">
        <v>1209</v>
      </c>
      <c r="D111" s="146" t="s">
        <v>1207</v>
      </c>
      <c r="E111" s="146">
        <v>800</v>
      </c>
      <c r="F111" s="146">
        <v>5600</v>
      </c>
      <c r="G111" s="188">
        <f t="shared" si="4"/>
        <v>880.00000000000011</v>
      </c>
      <c r="H111" s="188">
        <f t="shared" si="5"/>
        <v>6160.0000000000009</v>
      </c>
      <c r="I111" s="801">
        <f t="shared" si="6"/>
        <v>880.00000000000011</v>
      </c>
      <c r="J111" s="801">
        <f t="shared" si="7"/>
        <v>6160.0000000000009</v>
      </c>
      <c r="K111" s="1683"/>
      <c r="L111" s="1683"/>
      <c r="M111" s="1683"/>
      <c r="N111" s="1683"/>
      <c r="O111" s="1679"/>
    </row>
    <row r="112" spans="1:15" ht="18">
      <c r="A112" s="799" t="s">
        <v>1204</v>
      </c>
      <c r="B112" s="798" t="s">
        <v>1211</v>
      </c>
      <c r="C112" s="798" t="s">
        <v>1209</v>
      </c>
      <c r="D112" s="146" t="s">
        <v>1207</v>
      </c>
      <c r="E112" s="146">
        <v>800</v>
      </c>
      <c r="F112" s="146">
        <v>5600</v>
      </c>
      <c r="G112" s="188">
        <f t="shared" si="4"/>
        <v>880.00000000000011</v>
      </c>
      <c r="H112" s="188">
        <f t="shared" si="5"/>
        <v>6160.0000000000009</v>
      </c>
      <c r="I112" s="801">
        <f t="shared" si="6"/>
        <v>880.00000000000011</v>
      </c>
      <c r="J112" s="801">
        <f t="shared" si="7"/>
        <v>6160.0000000000009</v>
      </c>
      <c r="K112" s="1683"/>
      <c r="L112" s="1683"/>
      <c r="M112" s="1683"/>
      <c r="N112" s="1683"/>
      <c r="O112" s="1679"/>
    </row>
    <row r="113" spans="1:15" ht="18">
      <c r="A113" s="799" t="s">
        <v>1204</v>
      </c>
      <c r="B113" s="798" t="s">
        <v>1212</v>
      </c>
      <c r="C113" s="798" t="s">
        <v>1213</v>
      </c>
      <c r="D113" s="146" t="s">
        <v>1207</v>
      </c>
      <c r="E113" s="146">
        <v>900</v>
      </c>
      <c r="F113" s="146">
        <v>6300</v>
      </c>
      <c r="G113" s="188">
        <f t="shared" si="4"/>
        <v>990.00000000000011</v>
      </c>
      <c r="H113" s="188">
        <f t="shared" si="5"/>
        <v>6930.0000000000009</v>
      </c>
      <c r="I113" s="801">
        <f t="shared" si="6"/>
        <v>990.00000000000011</v>
      </c>
      <c r="J113" s="801">
        <f t="shared" si="7"/>
        <v>6930.0000000000009</v>
      </c>
      <c r="K113" s="1683"/>
      <c r="L113" s="1683"/>
      <c r="M113" s="1683"/>
      <c r="N113" s="1683"/>
      <c r="O113" s="1679"/>
    </row>
    <row r="114" spans="1:15" ht="18">
      <c r="A114" s="799" t="s">
        <v>1204</v>
      </c>
      <c r="B114" s="798" t="s">
        <v>1214</v>
      </c>
      <c r="C114" s="798" t="s">
        <v>1213</v>
      </c>
      <c r="D114" s="146" t="s">
        <v>1207</v>
      </c>
      <c r="E114" s="146">
        <v>900</v>
      </c>
      <c r="F114" s="146">
        <v>6300</v>
      </c>
      <c r="G114" s="188">
        <f t="shared" si="4"/>
        <v>990.00000000000011</v>
      </c>
      <c r="H114" s="188">
        <f t="shared" si="5"/>
        <v>6930.0000000000009</v>
      </c>
      <c r="I114" s="801">
        <f t="shared" si="6"/>
        <v>990.00000000000011</v>
      </c>
      <c r="J114" s="801">
        <f t="shared" si="7"/>
        <v>6930.0000000000009</v>
      </c>
      <c r="K114" s="1683"/>
      <c r="L114" s="1683"/>
      <c r="M114" s="1683"/>
      <c r="N114" s="1683"/>
      <c r="O114" s="1679"/>
    </row>
    <row r="115" spans="1:15" ht="18">
      <c r="A115" s="799" t="s">
        <v>1204</v>
      </c>
      <c r="B115" s="798" t="s">
        <v>1215</v>
      </c>
      <c r="C115" s="798" t="s">
        <v>1216</v>
      </c>
      <c r="D115" s="146" t="s">
        <v>1207</v>
      </c>
      <c r="E115" s="146">
        <v>700</v>
      </c>
      <c r="F115" s="146">
        <v>4900</v>
      </c>
      <c r="G115" s="188">
        <f t="shared" si="4"/>
        <v>770.00000000000011</v>
      </c>
      <c r="H115" s="188">
        <f t="shared" si="5"/>
        <v>5390</v>
      </c>
      <c r="I115" s="801">
        <f t="shared" si="6"/>
        <v>770.00000000000011</v>
      </c>
      <c r="J115" s="801">
        <f t="shared" si="7"/>
        <v>5390</v>
      </c>
      <c r="K115" s="1683"/>
      <c r="L115" s="1683"/>
      <c r="M115" s="1683"/>
      <c r="N115" s="1683"/>
      <c r="O115" s="1679"/>
    </row>
    <row r="116" spans="1:15" ht="18">
      <c r="A116" s="799" t="s">
        <v>1217</v>
      </c>
      <c r="B116" s="798" t="s">
        <v>1218</v>
      </c>
      <c r="C116" s="798"/>
      <c r="D116" s="146" t="s">
        <v>1219</v>
      </c>
      <c r="E116" s="146">
        <v>1500</v>
      </c>
      <c r="F116" s="146">
        <v>10500</v>
      </c>
      <c r="G116" s="188">
        <f t="shared" si="4"/>
        <v>1650.0000000000002</v>
      </c>
      <c r="H116" s="188">
        <f t="shared" si="5"/>
        <v>11550.000000000002</v>
      </c>
      <c r="I116" s="801">
        <f t="shared" si="6"/>
        <v>1650.0000000000002</v>
      </c>
      <c r="J116" s="801">
        <f t="shared" si="7"/>
        <v>11550.000000000002</v>
      </c>
      <c r="K116" s="1683"/>
      <c r="L116" s="1683"/>
      <c r="M116" s="1683"/>
      <c r="N116" s="1683"/>
      <c r="O116" s="1679"/>
    </row>
    <row r="117" spans="1:15" ht="18">
      <c r="A117" s="799" t="s">
        <v>1220</v>
      </c>
      <c r="B117" s="798" t="s">
        <v>1221</v>
      </c>
      <c r="C117" s="798" t="s">
        <v>1222</v>
      </c>
      <c r="D117" s="146" t="s">
        <v>1223</v>
      </c>
      <c r="E117" s="146">
        <v>260</v>
      </c>
      <c r="F117" s="146">
        <v>1820</v>
      </c>
      <c r="G117" s="188">
        <f t="shared" si="4"/>
        <v>286</v>
      </c>
      <c r="H117" s="188">
        <f t="shared" si="5"/>
        <v>2002.0000000000002</v>
      </c>
      <c r="I117" s="801">
        <f t="shared" si="6"/>
        <v>286</v>
      </c>
      <c r="J117" s="801">
        <f t="shared" si="7"/>
        <v>2002.0000000000002</v>
      </c>
      <c r="K117" s="1683"/>
      <c r="L117" s="1683"/>
      <c r="M117" s="1683"/>
      <c r="N117" s="1683"/>
      <c r="O117" s="1679"/>
    </row>
    <row r="118" spans="1:15" ht="18">
      <c r="A118" s="799" t="s">
        <v>1224</v>
      </c>
      <c r="B118" s="798" t="s">
        <v>1225</v>
      </c>
      <c r="C118" s="798" t="s">
        <v>1226</v>
      </c>
      <c r="D118" s="146" t="s">
        <v>1227</v>
      </c>
      <c r="E118" s="146">
        <v>800</v>
      </c>
      <c r="F118" s="146">
        <v>5600</v>
      </c>
      <c r="G118" s="188">
        <f t="shared" si="4"/>
        <v>880.00000000000011</v>
      </c>
      <c r="H118" s="188">
        <f t="shared" si="5"/>
        <v>6160.0000000000009</v>
      </c>
      <c r="I118" s="801">
        <f t="shared" si="6"/>
        <v>880.00000000000011</v>
      </c>
      <c r="J118" s="801">
        <f t="shared" si="7"/>
        <v>6160.0000000000009</v>
      </c>
      <c r="K118" s="1683"/>
      <c r="L118" s="1683"/>
      <c r="M118" s="1683"/>
      <c r="N118" s="1683"/>
      <c r="O118" s="1679"/>
    </row>
    <row r="119" spans="1:15" ht="18">
      <c r="A119" s="799" t="s">
        <v>1224</v>
      </c>
      <c r="B119" s="798" t="s">
        <v>1228</v>
      </c>
      <c r="C119" s="798" t="s">
        <v>1226</v>
      </c>
      <c r="D119" s="146" t="s">
        <v>1227</v>
      </c>
      <c r="E119" s="146">
        <v>800</v>
      </c>
      <c r="F119" s="146">
        <v>5600</v>
      </c>
      <c r="G119" s="188">
        <f t="shared" si="4"/>
        <v>880.00000000000011</v>
      </c>
      <c r="H119" s="188">
        <f t="shared" si="5"/>
        <v>6160.0000000000009</v>
      </c>
      <c r="I119" s="801">
        <f t="shared" si="6"/>
        <v>880.00000000000011</v>
      </c>
      <c r="J119" s="801">
        <f t="shared" si="7"/>
        <v>6160.0000000000009</v>
      </c>
      <c r="K119" s="1683"/>
      <c r="L119" s="1683"/>
      <c r="M119" s="1683"/>
      <c r="N119" s="1683"/>
      <c r="O119" s="1679"/>
    </row>
    <row r="120" spans="1:15" ht="18">
      <c r="A120" s="799" t="s">
        <v>1224</v>
      </c>
      <c r="B120" s="798" t="s">
        <v>1229</v>
      </c>
      <c r="C120" s="798" t="s">
        <v>1226</v>
      </c>
      <c r="D120" s="146" t="s">
        <v>1227</v>
      </c>
      <c r="E120" s="146">
        <v>800</v>
      </c>
      <c r="F120" s="146">
        <v>5600</v>
      </c>
      <c r="G120" s="188">
        <f t="shared" si="4"/>
        <v>880.00000000000011</v>
      </c>
      <c r="H120" s="188">
        <f t="shared" si="5"/>
        <v>6160.0000000000009</v>
      </c>
      <c r="I120" s="801">
        <f t="shared" si="6"/>
        <v>880.00000000000011</v>
      </c>
      <c r="J120" s="801">
        <f t="shared" si="7"/>
        <v>6160.0000000000009</v>
      </c>
      <c r="K120" s="1683"/>
      <c r="L120" s="1683"/>
      <c r="M120" s="1683"/>
      <c r="N120" s="1683"/>
      <c r="O120" s="1679"/>
    </row>
    <row r="121" spans="1:15" ht="18">
      <c r="A121" s="799" t="s">
        <v>1224</v>
      </c>
      <c r="B121" s="798" t="s">
        <v>1230</v>
      </c>
      <c r="C121" s="798" t="s">
        <v>1226</v>
      </c>
      <c r="D121" s="146" t="s">
        <v>1227</v>
      </c>
      <c r="E121" s="146">
        <v>800</v>
      </c>
      <c r="F121" s="146">
        <v>5600</v>
      </c>
      <c r="G121" s="188">
        <f t="shared" si="4"/>
        <v>880.00000000000011</v>
      </c>
      <c r="H121" s="188">
        <f t="shared" si="5"/>
        <v>6160.0000000000009</v>
      </c>
      <c r="I121" s="801">
        <f t="shared" si="6"/>
        <v>880.00000000000011</v>
      </c>
      <c r="J121" s="801">
        <f t="shared" si="7"/>
        <v>6160.0000000000009</v>
      </c>
      <c r="K121" s="1683"/>
      <c r="L121" s="1683"/>
      <c r="M121" s="1683"/>
      <c r="N121" s="1683"/>
      <c r="O121" s="1679"/>
    </row>
    <row r="122" spans="1:15" ht="18">
      <c r="A122" s="799" t="s">
        <v>1231</v>
      </c>
      <c r="B122" s="798" t="s">
        <v>1232</v>
      </c>
      <c r="C122" s="798" t="s">
        <v>1233</v>
      </c>
      <c r="D122" s="146" t="s">
        <v>1234</v>
      </c>
      <c r="E122" s="146">
        <v>450</v>
      </c>
      <c r="F122" s="146">
        <v>3150</v>
      </c>
      <c r="G122" s="188">
        <f t="shared" si="4"/>
        <v>495.00000000000006</v>
      </c>
      <c r="H122" s="188">
        <f t="shared" si="5"/>
        <v>3465.0000000000005</v>
      </c>
      <c r="I122" s="801">
        <f t="shared" si="6"/>
        <v>495.00000000000006</v>
      </c>
      <c r="J122" s="801">
        <f t="shared" si="7"/>
        <v>3465.0000000000005</v>
      </c>
      <c r="K122" s="1683"/>
      <c r="L122" s="1683"/>
      <c r="M122" s="1683"/>
      <c r="N122" s="1683"/>
      <c r="O122" s="1679"/>
    </row>
    <row r="123" spans="1:15" ht="18">
      <c r="A123" s="799" t="s">
        <v>1231</v>
      </c>
      <c r="B123" s="798" t="s">
        <v>1235</v>
      </c>
      <c r="C123" s="798" t="s">
        <v>1233</v>
      </c>
      <c r="D123" s="146" t="s">
        <v>1234</v>
      </c>
      <c r="E123" s="146">
        <v>450</v>
      </c>
      <c r="F123" s="146">
        <v>3150</v>
      </c>
      <c r="G123" s="188">
        <f t="shared" si="4"/>
        <v>495.00000000000006</v>
      </c>
      <c r="H123" s="188">
        <f t="shared" si="5"/>
        <v>3465.0000000000005</v>
      </c>
      <c r="I123" s="801">
        <f t="shared" si="6"/>
        <v>495.00000000000006</v>
      </c>
      <c r="J123" s="801">
        <f t="shared" si="7"/>
        <v>3465.0000000000005</v>
      </c>
      <c r="K123" s="1683"/>
      <c r="L123" s="1683"/>
      <c r="M123" s="1683"/>
      <c r="N123" s="1683"/>
      <c r="O123" s="1679"/>
    </row>
    <row r="124" spans="1:15" ht="18">
      <c r="A124" s="799" t="s">
        <v>1231</v>
      </c>
      <c r="B124" s="798" t="s">
        <v>1236</v>
      </c>
      <c r="C124" s="798" t="s">
        <v>1233</v>
      </c>
      <c r="D124" s="146" t="s">
        <v>1234</v>
      </c>
      <c r="E124" s="146">
        <v>450</v>
      </c>
      <c r="F124" s="146">
        <v>3150</v>
      </c>
      <c r="G124" s="188">
        <f t="shared" si="4"/>
        <v>495.00000000000006</v>
      </c>
      <c r="H124" s="188">
        <f t="shared" si="5"/>
        <v>3465.0000000000005</v>
      </c>
      <c r="I124" s="801">
        <f t="shared" si="6"/>
        <v>495.00000000000006</v>
      </c>
      <c r="J124" s="801">
        <f t="shared" si="7"/>
        <v>3465.0000000000005</v>
      </c>
      <c r="K124" s="1683"/>
      <c r="L124" s="1683"/>
      <c r="M124" s="1683"/>
      <c r="N124" s="1683"/>
      <c r="O124" s="1679"/>
    </row>
    <row r="125" spans="1:15" ht="18">
      <c r="A125" s="799" t="s">
        <v>1231</v>
      </c>
      <c r="B125" s="798" t="s">
        <v>1237</v>
      </c>
      <c r="C125" s="798" t="s">
        <v>1233</v>
      </c>
      <c r="D125" s="146" t="s">
        <v>1234</v>
      </c>
      <c r="E125" s="146">
        <v>450</v>
      </c>
      <c r="F125" s="146">
        <v>3150</v>
      </c>
      <c r="G125" s="188">
        <f t="shared" si="4"/>
        <v>495.00000000000006</v>
      </c>
      <c r="H125" s="188">
        <f t="shared" si="5"/>
        <v>3465.0000000000005</v>
      </c>
      <c r="I125" s="801">
        <f t="shared" si="6"/>
        <v>495.00000000000006</v>
      </c>
      <c r="J125" s="801">
        <f t="shared" si="7"/>
        <v>3465.0000000000005</v>
      </c>
      <c r="K125" s="1683"/>
      <c r="L125" s="1683"/>
      <c r="M125" s="1683"/>
      <c r="N125" s="1683"/>
      <c r="O125" s="1679"/>
    </row>
    <row r="126" spans="1:15" ht="18">
      <c r="A126" s="799" t="s">
        <v>1238</v>
      </c>
      <c r="B126" s="798" t="s">
        <v>1239</v>
      </c>
      <c r="C126" s="798" t="s">
        <v>1233</v>
      </c>
      <c r="D126" s="146" t="s">
        <v>1240</v>
      </c>
      <c r="E126" s="146">
        <v>450</v>
      </c>
      <c r="F126" s="146">
        <v>3150</v>
      </c>
      <c r="G126" s="188">
        <f t="shared" si="4"/>
        <v>495.00000000000006</v>
      </c>
      <c r="H126" s="188">
        <f t="shared" si="5"/>
        <v>3465.0000000000005</v>
      </c>
      <c r="I126" s="801">
        <f t="shared" si="6"/>
        <v>495.00000000000006</v>
      </c>
      <c r="J126" s="801">
        <f t="shared" si="7"/>
        <v>3465.0000000000005</v>
      </c>
      <c r="K126" s="1683"/>
      <c r="L126" s="1683"/>
      <c r="M126" s="1683"/>
      <c r="N126" s="1683"/>
      <c r="O126" s="1679"/>
    </row>
    <row r="127" spans="1:15" ht="18">
      <c r="A127" s="799" t="s">
        <v>1238</v>
      </c>
      <c r="B127" s="798" t="s">
        <v>1241</v>
      </c>
      <c r="C127" s="798" t="s">
        <v>1233</v>
      </c>
      <c r="D127" s="146" t="s">
        <v>1240</v>
      </c>
      <c r="E127" s="146">
        <v>450</v>
      </c>
      <c r="F127" s="146">
        <v>3150</v>
      </c>
      <c r="G127" s="188">
        <f t="shared" si="4"/>
        <v>495.00000000000006</v>
      </c>
      <c r="H127" s="188">
        <f t="shared" si="5"/>
        <v>3465.0000000000005</v>
      </c>
      <c r="I127" s="801">
        <f t="shared" si="6"/>
        <v>495.00000000000006</v>
      </c>
      <c r="J127" s="801">
        <f t="shared" si="7"/>
        <v>3465.0000000000005</v>
      </c>
      <c r="K127" s="1683"/>
      <c r="L127" s="1683"/>
      <c r="M127" s="1683"/>
      <c r="N127" s="1683"/>
      <c r="O127" s="1679"/>
    </row>
    <row r="128" spans="1:15" ht="18">
      <c r="A128" s="799" t="s">
        <v>1238</v>
      </c>
      <c r="B128" s="798" t="s">
        <v>1242</v>
      </c>
      <c r="C128" s="798" t="s">
        <v>1233</v>
      </c>
      <c r="D128" s="146" t="s">
        <v>1240</v>
      </c>
      <c r="E128" s="146">
        <v>450</v>
      </c>
      <c r="F128" s="146">
        <v>3150</v>
      </c>
      <c r="G128" s="188">
        <f t="shared" si="4"/>
        <v>495.00000000000006</v>
      </c>
      <c r="H128" s="188">
        <f t="shared" si="5"/>
        <v>3465.0000000000005</v>
      </c>
      <c r="I128" s="801">
        <f t="shared" si="6"/>
        <v>495.00000000000006</v>
      </c>
      <c r="J128" s="801">
        <f t="shared" si="7"/>
        <v>3465.0000000000005</v>
      </c>
      <c r="K128" s="1683"/>
      <c r="L128" s="1683"/>
      <c r="M128" s="1683"/>
      <c r="N128" s="1683"/>
      <c r="O128" s="1679"/>
    </row>
    <row r="129" spans="1:15" ht="18">
      <c r="A129" s="799" t="s">
        <v>1238</v>
      </c>
      <c r="B129" s="798" t="s">
        <v>1243</v>
      </c>
      <c r="C129" s="798" t="s">
        <v>1233</v>
      </c>
      <c r="D129" s="146" t="s">
        <v>1240</v>
      </c>
      <c r="E129" s="146">
        <v>450</v>
      </c>
      <c r="F129" s="146">
        <v>3150</v>
      </c>
      <c r="G129" s="188">
        <f t="shared" si="4"/>
        <v>495.00000000000006</v>
      </c>
      <c r="H129" s="188">
        <f t="shared" si="5"/>
        <v>3465.0000000000005</v>
      </c>
      <c r="I129" s="801">
        <f t="shared" si="6"/>
        <v>495.00000000000006</v>
      </c>
      <c r="J129" s="801">
        <f t="shared" si="7"/>
        <v>3465.0000000000005</v>
      </c>
      <c r="K129" s="1683"/>
      <c r="L129" s="1683"/>
      <c r="M129" s="1683"/>
      <c r="N129" s="1683"/>
      <c r="O129" s="1679"/>
    </row>
    <row r="130" spans="1:15" ht="18">
      <c r="A130" s="799" t="s">
        <v>1238</v>
      </c>
      <c r="B130" s="798" t="s">
        <v>1244</v>
      </c>
      <c r="C130" s="798" t="s">
        <v>1233</v>
      </c>
      <c r="D130" s="146" t="s">
        <v>1240</v>
      </c>
      <c r="E130" s="146">
        <v>450</v>
      </c>
      <c r="F130" s="146">
        <v>3150</v>
      </c>
      <c r="G130" s="188">
        <f t="shared" si="4"/>
        <v>495.00000000000006</v>
      </c>
      <c r="H130" s="188">
        <f t="shared" si="5"/>
        <v>3465.0000000000005</v>
      </c>
      <c r="I130" s="801">
        <f t="shared" si="6"/>
        <v>495.00000000000006</v>
      </c>
      <c r="J130" s="801">
        <f t="shared" si="7"/>
        <v>3465.0000000000005</v>
      </c>
      <c r="K130" s="1683"/>
      <c r="L130" s="1683"/>
      <c r="M130" s="1683"/>
      <c r="N130" s="1683"/>
      <c r="O130" s="1679"/>
    </row>
    <row r="131" spans="1:15" ht="18">
      <c r="A131" s="799" t="s">
        <v>1238</v>
      </c>
      <c r="B131" s="798" t="s">
        <v>1245</v>
      </c>
      <c r="C131" s="798" t="s">
        <v>1233</v>
      </c>
      <c r="D131" s="146" t="s">
        <v>1240</v>
      </c>
      <c r="E131" s="146">
        <v>450</v>
      </c>
      <c r="F131" s="146">
        <v>3150</v>
      </c>
      <c r="G131" s="188">
        <f t="shared" si="4"/>
        <v>495.00000000000006</v>
      </c>
      <c r="H131" s="188">
        <f t="shared" si="5"/>
        <v>3465.0000000000005</v>
      </c>
      <c r="I131" s="801">
        <f t="shared" si="6"/>
        <v>495.00000000000006</v>
      </c>
      <c r="J131" s="801">
        <f t="shared" si="7"/>
        <v>3465.0000000000005</v>
      </c>
      <c r="K131" s="1683"/>
      <c r="L131" s="1683"/>
      <c r="M131" s="1683"/>
      <c r="N131" s="1683"/>
      <c r="O131" s="1679"/>
    </row>
    <row r="132" spans="1:15" ht="18">
      <c r="A132" s="799" t="s">
        <v>1238</v>
      </c>
      <c r="B132" s="798" t="s">
        <v>1246</v>
      </c>
      <c r="C132" s="798" t="s">
        <v>1233</v>
      </c>
      <c r="D132" s="146" t="s">
        <v>1240</v>
      </c>
      <c r="E132" s="146">
        <v>450</v>
      </c>
      <c r="F132" s="146">
        <v>3150</v>
      </c>
      <c r="G132" s="188">
        <f t="shared" si="4"/>
        <v>495.00000000000006</v>
      </c>
      <c r="H132" s="188">
        <f t="shared" si="5"/>
        <v>3465.0000000000005</v>
      </c>
      <c r="I132" s="801">
        <f t="shared" si="6"/>
        <v>495.00000000000006</v>
      </c>
      <c r="J132" s="801">
        <f t="shared" si="7"/>
        <v>3465.0000000000005</v>
      </c>
      <c r="K132" s="1683"/>
      <c r="L132" s="1683"/>
      <c r="M132" s="1683"/>
      <c r="N132" s="1683"/>
      <c r="O132" s="1679"/>
    </row>
    <row r="133" spans="1:15" ht="18">
      <c r="A133" s="799" t="s">
        <v>1238</v>
      </c>
      <c r="B133" s="798" t="s">
        <v>1247</v>
      </c>
      <c r="C133" s="798" t="s">
        <v>1233</v>
      </c>
      <c r="D133" s="146" t="s">
        <v>1240</v>
      </c>
      <c r="E133" s="146">
        <v>450</v>
      </c>
      <c r="F133" s="146">
        <v>3150</v>
      </c>
      <c r="G133" s="188">
        <f t="shared" ref="G133:G173" si="8">E133*1.1</f>
        <v>495.00000000000006</v>
      </c>
      <c r="H133" s="188">
        <f t="shared" ref="H133:H173" si="9">F133*1.1</f>
        <v>3465.0000000000005</v>
      </c>
      <c r="I133" s="801">
        <f t="shared" ref="I133:I173" si="10">G133</f>
        <v>495.00000000000006</v>
      </c>
      <c r="J133" s="801">
        <f t="shared" ref="J133:J173" si="11">H133</f>
        <v>3465.0000000000005</v>
      </c>
      <c r="K133" s="1683"/>
      <c r="L133" s="1683"/>
      <c r="M133" s="1683"/>
      <c r="N133" s="1683"/>
      <c r="O133" s="1679"/>
    </row>
    <row r="134" spans="1:15" ht="18">
      <c r="A134" s="799" t="s">
        <v>1238</v>
      </c>
      <c r="B134" s="798" t="s">
        <v>1248</v>
      </c>
      <c r="C134" s="798" t="s">
        <v>1233</v>
      </c>
      <c r="D134" s="146" t="s">
        <v>1240</v>
      </c>
      <c r="E134" s="146">
        <v>450</v>
      </c>
      <c r="F134" s="146">
        <v>3150</v>
      </c>
      <c r="G134" s="188">
        <f t="shared" si="8"/>
        <v>495.00000000000006</v>
      </c>
      <c r="H134" s="188">
        <f t="shared" si="9"/>
        <v>3465.0000000000005</v>
      </c>
      <c r="I134" s="801">
        <f t="shared" si="10"/>
        <v>495.00000000000006</v>
      </c>
      <c r="J134" s="801">
        <f t="shared" si="11"/>
        <v>3465.0000000000005</v>
      </c>
      <c r="K134" s="1683"/>
      <c r="L134" s="1683"/>
      <c r="M134" s="1683"/>
      <c r="N134" s="1683"/>
      <c r="O134" s="1679"/>
    </row>
    <row r="135" spans="1:15" ht="18">
      <c r="A135" s="799" t="s">
        <v>1238</v>
      </c>
      <c r="B135" s="798" t="s">
        <v>1249</v>
      </c>
      <c r="C135" s="798" t="s">
        <v>1250</v>
      </c>
      <c r="D135" s="146" t="s">
        <v>1240</v>
      </c>
      <c r="E135" s="146">
        <v>1100</v>
      </c>
      <c r="F135" s="146">
        <v>7700</v>
      </c>
      <c r="G135" s="188">
        <f t="shared" si="8"/>
        <v>1210</v>
      </c>
      <c r="H135" s="188">
        <f t="shared" si="9"/>
        <v>8470</v>
      </c>
      <c r="I135" s="801">
        <f t="shared" si="10"/>
        <v>1210</v>
      </c>
      <c r="J135" s="801">
        <f t="shared" si="11"/>
        <v>8470</v>
      </c>
      <c r="K135" s="1683"/>
      <c r="L135" s="1683"/>
      <c r="M135" s="1683"/>
      <c r="N135" s="1683"/>
      <c r="O135" s="1679"/>
    </row>
    <row r="136" spans="1:15" ht="18">
      <c r="A136" s="799" t="s">
        <v>1238</v>
      </c>
      <c r="B136" s="798" t="s">
        <v>1251</v>
      </c>
      <c r="C136" s="798" t="s">
        <v>1250</v>
      </c>
      <c r="D136" s="146" t="s">
        <v>1240</v>
      </c>
      <c r="E136" s="146">
        <v>1100</v>
      </c>
      <c r="F136" s="146">
        <v>7700</v>
      </c>
      <c r="G136" s="188">
        <f t="shared" si="8"/>
        <v>1210</v>
      </c>
      <c r="H136" s="188">
        <f t="shared" si="9"/>
        <v>8470</v>
      </c>
      <c r="I136" s="801">
        <f t="shared" si="10"/>
        <v>1210</v>
      </c>
      <c r="J136" s="801">
        <f t="shared" si="11"/>
        <v>8470</v>
      </c>
      <c r="K136" s="1683"/>
      <c r="L136" s="1683"/>
      <c r="M136" s="1683"/>
      <c r="N136" s="1683"/>
      <c r="O136" s="1679"/>
    </row>
    <row r="137" spans="1:15" ht="18">
      <c r="A137" s="799" t="s">
        <v>1238</v>
      </c>
      <c r="B137" s="798" t="s">
        <v>1252</v>
      </c>
      <c r="C137" s="798" t="s">
        <v>1250</v>
      </c>
      <c r="D137" s="146" t="s">
        <v>1240</v>
      </c>
      <c r="E137" s="146">
        <v>1100</v>
      </c>
      <c r="F137" s="146">
        <v>7700</v>
      </c>
      <c r="G137" s="188">
        <f t="shared" si="8"/>
        <v>1210</v>
      </c>
      <c r="H137" s="188">
        <f t="shared" si="9"/>
        <v>8470</v>
      </c>
      <c r="I137" s="801">
        <f t="shared" si="10"/>
        <v>1210</v>
      </c>
      <c r="J137" s="801">
        <f t="shared" si="11"/>
        <v>8470</v>
      </c>
      <c r="K137" s="1683"/>
      <c r="L137" s="1683"/>
      <c r="M137" s="1683"/>
      <c r="N137" s="1683"/>
      <c r="O137" s="1679"/>
    </row>
    <row r="138" spans="1:15" ht="18">
      <c r="A138" s="799" t="s">
        <v>1253</v>
      </c>
      <c r="B138" s="798" t="s">
        <v>1254</v>
      </c>
      <c r="C138" s="798"/>
      <c r="D138" s="146" t="s">
        <v>1255</v>
      </c>
      <c r="E138" s="146">
        <v>300</v>
      </c>
      <c r="F138" s="146">
        <v>2100</v>
      </c>
      <c r="G138" s="188">
        <f t="shared" si="8"/>
        <v>330</v>
      </c>
      <c r="H138" s="188">
        <f t="shared" si="9"/>
        <v>2310</v>
      </c>
      <c r="I138" s="801">
        <f t="shared" si="10"/>
        <v>330</v>
      </c>
      <c r="J138" s="801">
        <f t="shared" si="11"/>
        <v>2310</v>
      </c>
      <c r="K138" s="1683"/>
      <c r="L138" s="1683"/>
      <c r="M138" s="1683"/>
      <c r="N138" s="1683"/>
      <c r="O138" s="1679"/>
    </row>
    <row r="139" spans="1:15" ht="18">
      <c r="A139" s="799" t="s">
        <v>1253</v>
      </c>
      <c r="B139" s="798" t="s">
        <v>1256</v>
      </c>
      <c r="C139" s="798"/>
      <c r="D139" s="146" t="s">
        <v>1255</v>
      </c>
      <c r="E139" s="146">
        <v>300</v>
      </c>
      <c r="F139" s="146">
        <v>2100</v>
      </c>
      <c r="G139" s="188">
        <f t="shared" si="8"/>
        <v>330</v>
      </c>
      <c r="H139" s="188">
        <f t="shared" si="9"/>
        <v>2310</v>
      </c>
      <c r="I139" s="801">
        <f t="shared" si="10"/>
        <v>330</v>
      </c>
      <c r="J139" s="801">
        <f t="shared" si="11"/>
        <v>2310</v>
      </c>
      <c r="K139" s="1683"/>
      <c r="L139" s="1683"/>
      <c r="M139" s="1683"/>
      <c r="N139" s="1683"/>
      <c r="O139" s="1679"/>
    </row>
    <row r="140" spans="1:15" ht="18">
      <c r="A140" s="799" t="s">
        <v>1253</v>
      </c>
      <c r="B140" s="798" t="s">
        <v>1257</v>
      </c>
      <c r="C140" s="798"/>
      <c r="D140" s="146" t="s">
        <v>1255</v>
      </c>
      <c r="E140" s="146">
        <v>300</v>
      </c>
      <c r="F140" s="146">
        <v>2100</v>
      </c>
      <c r="G140" s="188">
        <f t="shared" si="8"/>
        <v>330</v>
      </c>
      <c r="H140" s="188">
        <f t="shared" si="9"/>
        <v>2310</v>
      </c>
      <c r="I140" s="801">
        <f t="shared" si="10"/>
        <v>330</v>
      </c>
      <c r="J140" s="801">
        <f t="shared" si="11"/>
        <v>2310</v>
      </c>
      <c r="K140" s="1683"/>
      <c r="L140" s="1683"/>
      <c r="M140" s="1683"/>
      <c r="N140" s="1683"/>
      <c r="O140" s="1679"/>
    </row>
    <row r="141" spans="1:15" ht="18">
      <c r="A141" s="799" t="s">
        <v>1253</v>
      </c>
      <c r="B141" s="798" t="s">
        <v>1258</v>
      </c>
      <c r="C141" s="798"/>
      <c r="D141" s="146" t="s">
        <v>1255</v>
      </c>
      <c r="E141" s="146">
        <v>300</v>
      </c>
      <c r="F141" s="146">
        <v>2100</v>
      </c>
      <c r="G141" s="188">
        <f t="shared" si="8"/>
        <v>330</v>
      </c>
      <c r="H141" s="188">
        <f t="shared" si="9"/>
        <v>2310</v>
      </c>
      <c r="I141" s="801">
        <f t="shared" si="10"/>
        <v>330</v>
      </c>
      <c r="J141" s="801">
        <f t="shared" si="11"/>
        <v>2310</v>
      </c>
      <c r="K141" s="1683"/>
      <c r="L141" s="1683"/>
      <c r="M141" s="1683"/>
      <c r="N141" s="1683"/>
      <c r="O141" s="1679"/>
    </row>
    <row r="142" spans="1:15" ht="18">
      <c r="A142" s="799" t="s">
        <v>1253</v>
      </c>
      <c r="B142" s="798" t="s">
        <v>1259</v>
      </c>
      <c r="C142" s="798"/>
      <c r="D142" s="146" t="s">
        <v>1255</v>
      </c>
      <c r="E142" s="146">
        <v>300</v>
      </c>
      <c r="F142" s="146">
        <v>2100</v>
      </c>
      <c r="G142" s="188">
        <f t="shared" si="8"/>
        <v>330</v>
      </c>
      <c r="H142" s="188">
        <f t="shared" si="9"/>
        <v>2310</v>
      </c>
      <c r="I142" s="801">
        <f t="shared" si="10"/>
        <v>330</v>
      </c>
      <c r="J142" s="801">
        <f t="shared" si="11"/>
        <v>2310</v>
      </c>
      <c r="K142" s="1683"/>
      <c r="L142" s="1683"/>
      <c r="M142" s="1683"/>
      <c r="N142" s="1683"/>
      <c r="O142" s="1679"/>
    </row>
    <row r="143" spans="1:15" ht="18">
      <c r="A143" s="799" t="s">
        <v>1260</v>
      </c>
      <c r="B143" s="798" t="s">
        <v>1261</v>
      </c>
      <c r="C143" s="798" t="s">
        <v>1262</v>
      </c>
      <c r="D143" s="146" t="s">
        <v>1263</v>
      </c>
      <c r="E143" s="146">
        <v>2200</v>
      </c>
      <c r="F143" s="146">
        <v>15400</v>
      </c>
      <c r="G143" s="188">
        <f t="shared" si="8"/>
        <v>2420</v>
      </c>
      <c r="H143" s="188">
        <f t="shared" si="9"/>
        <v>16940</v>
      </c>
      <c r="I143" s="801">
        <f t="shared" si="10"/>
        <v>2420</v>
      </c>
      <c r="J143" s="801">
        <f t="shared" si="11"/>
        <v>16940</v>
      </c>
      <c r="K143" s="1683"/>
      <c r="L143" s="1683"/>
      <c r="M143" s="1683"/>
      <c r="N143" s="1683"/>
      <c r="O143" s="1679"/>
    </row>
    <row r="144" spans="1:15" ht="18">
      <c r="A144" s="799" t="s">
        <v>1260</v>
      </c>
      <c r="B144" s="798" t="s">
        <v>1264</v>
      </c>
      <c r="C144" s="798" t="s">
        <v>1262</v>
      </c>
      <c r="D144" s="146" t="s">
        <v>1263</v>
      </c>
      <c r="E144" s="146">
        <v>2200</v>
      </c>
      <c r="F144" s="146">
        <v>15400</v>
      </c>
      <c r="G144" s="188">
        <f t="shared" si="8"/>
        <v>2420</v>
      </c>
      <c r="H144" s="188">
        <f t="shared" si="9"/>
        <v>16940</v>
      </c>
      <c r="I144" s="801">
        <f t="shared" si="10"/>
        <v>2420</v>
      </c>
      <c r="J144" s="801">
        <f t="shared" si="11"/>
        <v>16940</v>
      </c>
      <c r="K144" s="1683"/>
      <c r="L144" s="1683"/>
      <c r="M144" s="1683"/>
      <c r="N144" s="1683"/>
      <c r="O144" s="1679"/>
    </row>
    <row r="145" spans="1:15" ht="18">
      <c r="A145" s="799" t="s">
        <v>1260</v>
      </c>
      <c r="B145" s="798" t="s">
        <v>1265</v>
      </c>
      <c r="C145" s="798" t="s">
        <v>1262</v>
      </c>
      <c r="D145" s="146" t="s">
        <v>1263</v>
      </c>
      <c r="E145" s="146">
        <v>2200</v>
      </c>
      <c r="F145" s="146">
        <v>15400</v>
      </c>
      <c r="G145" s="188">
        <f t="shared" si="8"/>
        <v>2420</v>
      </c>
      <c r="H145" s="188">
        <f t="shared" si="9"/>
        <v>16940</v>
      </c>
      <c r="I145" s="801">
        <f t="shared" si="10"/>
        <v>2420</v>
      </c>
      <c r="J145" s="801">
        <f t="shared" si="11"/>
        <v>16940</v>
      </c>
      <c r="K145" s="1683"/>
      <c r="L145" s="1683"/>
      <c r="M145" s="1683"/>
      <c r="N145" s="1683"/>
      <c r="O145" s="1679"/>
    </row>
    <row r="146" spans="1:15" ht="18">
      <c r="A146" s="799" t="s">
        <v>1260</v>
      </c>
      <c r="B146" s="798" t="s">
        <v>1265</v>
      </c>
      <c r="C146" s="798" t="s">
        <v>1262</v>
      </c>
      <c r="D146" s="146" t="s">
        <v>1263</v>
      </c>
      <c r="E146" s="146">
        <v>2200</v>
      </c>
      <c r="F146" s="146">
        <v>15400</v>
      </c>
      <c r="G146" s="188">
        <f t="shared" si="8"/>
        <v>2420</v>
      </c>
      <c r="H146" s="188">
        <f t="shared" si="9"/>
        <v>16940</v>
      </c>
      <c r="I146" s="801">
        <f t="shared" si="10"/>
        <v>2420</v>
      </c>
      <c r="J146" s="801">
        <f t="shared" si="11"/>
        <v>16940</v>
      </c>
      <c r="K146" s="1683"/>
      <c r="L146" s="1683"/>
      <c r="M146" s="1683"/>
      <c r="N146" s="1683"/>
      <c r="O146" s="1679"/>
    </row>
    <row r="147" spans="1:15" ht="18">
      <c r="A147" s="799" t="s">
        <v>1260</v>
      </c>
      <c r="B147" s="798" t="s">
        <v>1266</v>
      </c>
      <c r="C147" s="798" t="s">
        <v>1262</v>
      </c>
      <c r="D147" s="146" t="s">
        <v>1263</v>
      </c>
      <c r="E147" s="146">
        <v>2200</v>
      </c>
      <c r="F147" s="146">
        <v>15400</v>
      </c>
      <c r="G147" s="188">
        <f t="shared" si="8"/>
        <v>2420</v>
      </c>
      <c r="H147" s="188">
        <f t="shared" si="9"/>
        <v>16940</v>
      </c>
      <c r="I147" s="801">
        <f t="shared" si="10"/>
        <v>2420</v>
      </c>
      <c r="J147" s="801">
        <f t="shared" si="11"/>
        <v>16940</v>
      </c>
      <c r="K147" s="1683"/>
      <c r="L147" s="1683"/>
      <c r="M147" s="1683"/>
      <c r="N147" s="1683"/>
      <c r="O147" s="1679"/>
    </row>
    <row r="148" spans="1:15" ht="18">
      <c r="A148" s="799" t="s">
        <v>1260</v>
      </c>
      <c r="B148" s="798" t="s">
        <v>1267</v>
      </c>
      <c r="C148" s="798" t="s">
        <v>1262</v>
      </c>
      <c r="D148" s="146" t="s">
        <v>1263</v>
      </c>
      <c r="E148" s="146">
        <v>2200</v>
      </c>
      <c r="F148" s="146">
        <v>15400</v>
      </c>
      <c r="G148" s="188">
        <f t="shared" si="8"/>
        <v>2420</v>
      </c>
      <c r="H148" s="188">
        <f t="shared" si="9"/>
        <v>16940</v>
      </c>
      <c r="I148" s="801">
        <f t="shared" si="10"/>
        <v>2420</v>
      </c>
      <c r="J148" s="801">
        <f t="shared" si="11"/>
        <v>16940</v>
      </c>
      <c r="K148" s="1683"/>
      <c r="L148" s="1683"/>
      <c r="M148" s="1683"/>
      <c r="N148" s="1683"/>
      <c r="O148" s="1679"/>
    </row>
    <row r="149" spans="1:15" ht="18">
      <c r="A149" s="799" t="s">
        <v>1260</v>
      </c>
      <c r="B149" s="798" t="s">
        <v>1266</v>
      </c>
      <c r="C149" s="798" t="s">
        <v>1268</v>
      </c>
      <c r="D149" s="146" t="s">
        <v>1263</v>
      </c>
      <c r="E149" s="146">
        <v>2700</v>
      </c>
      <c r="F149" s="146">
        <v>18900</v>
      </c>
      <c r="G149" s="188">
        <f t="shared" si="8"/>
        <v>2970.0000000000005</v>
      </c>
      <c r="H149" s="188">
        <f t="shared" si="9"/>
        <v>20790</v>
      </c>
      <c r="I149" s="801">
        <f t="shared" si="10"/>
        <v>2970.0000000000005</v>
      </c>
      <c r="J149" s="801">
        <f t="shared" si="11"/>
        <v>20790</v>
      </c>
      <c r="K149" s="1683"/>
      <c r="L149" s="1683"/>
      <c r="M149" s="1683"/>
      <c r="N149" s="1683"/>
      <c r="O149" s="1679"/>
    </row>
    <row r="150" spans="1:15" ht="18">
      <c r="A150" s="799" t="s">
        <v>1269</v>
      </c>
      <c r="B150" s="798" t="s">
        <v>1270</v>
      </c>
      <c r="C150" s="798" t="s">
        <v>1271</v>
      </c>
      <c r="D150" s="146" t="s">
        <v>1272</v>
      </c>
      <c r="E150" s="146">
        <v>550</v>
      </c>
      <c r="F150" s="146">
        <v>3850</v>
      </c>
      <c r="G150" s="188">
        <f t="shared" si="8"/>
        <v>605</v>
      </c>
      <c r="H150" s="188">
        <f t="shared" si="9"/>
        <v>4235</v>
      </c>
      <c r="I150" s="801">
        <f t="shared" si="10"/>
        <v>605</v>
      </c>
      <c r="J150" s="801">
        <f t="shared" si="11"/>
        <v>4235</v>
      </c>
      <c r="K150" s="1683"/>
      <c r="L150" s="1683"/>
      <c r="M150" s="1683"/>
      <c r="N150" s="1683"/>
      <c r="O150" s="1679"/>
    </row>
    <row r="151" spans="1:15" ht="18">
      <c r="A151" s="799" t="s">
        <v>1269</v>
      </c>
      <c r="B151" s="798" t="s">
        <v>1273</v>
      </c>
      <c r="C151" s="798" t="s">
        <v>1271</v>
      </c>
      <c r="D151" s="146" t="s">
        <v>1272</v>
      </c>
      <c r="E151" s="146">
        <v>550</v>
      </c>
      <c r="F151" s="146">
        <v>3850</v>
      </c>
      <c r="G151" s="188">
        <f t="shared" si="8"/>
        <v>605</v>
      </c>
      <c r="H151" s="188">
        <f t="shared" si="9"/>
        <v>4235</v>
      </c>
      <c r="I151" s="801">
        <f t="shared" si="10"/>
        <v>605</v>
      </c>
      <c r="J151" s="801">
        <f t="shared" si="11"/>
        <v>4235</v>
      </c>
      <c r="K151" s="1683"/>
      <c r="L151" s="1683"/>
      <c r="M151" s="1683"/>
      <c r="N151" s="1683"/>
      <c r="O151" s="1679"/>
    </row>
    <row r="152" spans="1:15" ht="18">
      <c r="A152" s="799" t="s">
        <v>1269</v>
      </c>
      <c r="B152" s="798" t="s">
        <v>1274</v>
      </c>
      <c r="C152" s="798" t="s">
        <v>1271</v>
      </c>
      <c r="D152" s="146" t="s">
        <v>1272</v>
      </c>
      <c r="E152" s="146">
        <v>550</v>
      </c>
      <c r="F152" s="146">
        <v>3850</v>
      </c>
      <c r="G152" s="188">
        <f t="shared" si="8"/>
        <v>605</v>
      </c>
      <c r="H152" s="188">
        <f t="shared" si="9"/>
        <v>4235</v>
      </c>
      <c r="I152" s="801">
        <f t="shared" si="10"/>
        <v>605</v>
      </c>
      <c r="J152" s="801">
        <f t="shared" si="11"/>
        <v>4235</v>
      </c>
      <c r="K152" s="1683"/>
      <c r="L152" s="1683"/>
      <c r="M152" s="1683"/>
      <c r="N152" s="1683"/>
      <c r="O152" s="1679"/>
    </row>
    <row r="153" spans="1:15" ht="18">
      <c r="A153" s="799" t="s">
        <v>1269</v>
      </c>
      <c r="B153" s="798" t="s">
        <v>1275</v>
      </c>
      <c r="C153" s="798" t="s">
        <v>1271</v>
      </c>
      <c r="D153" s="146" t="s">
        <v>1272</v>
      </c>
      <c r="E153" s="146">
        <v>550</v>
      </c>
      <c r="F153" s="146">
        <v>3850</v>
      </c>
      <c r="G153" s="188">
        <f t="shared" si="8"/>
        <v>605</v>
      </c>
      <c r="H153" s="188">
        <f t="shared" si="9"/>
        <v>4235</v>
      </c>
      <c r="I153" s="801">
        <f t="shared" si="10"/>
        <v>605</v>
      </c>
      <c r="J153" s="801">
        <f t="shared" si="11"/>
        <v>4235</v>
      </c>
      <c r="K153" s="1683"/>
      <c r="L153" s="1683"/>
      <c r="M153" s="1683"/>
      <c r="N153" s="1683"/>
      <c r="O153" s="1679"/>
    </row>
    <row r="154" spans="1:15" ht="18">
      <c r="A154" s="799" t="s">
        <v>1269</v>
      </c>
      <c r="B154" s="798" t="s">
        <v>1230</v>
      </c>
      <c r="C154" s="798" t="s">
        <v>1271</v>
      </c>
      <c r="D154" s="146" t="s">
        <v>1272</v>
      </c>
      <c r="E154" s="146">
        <v>550</v>
      </c>
      <c r="F154" s="146">
        <v>3850</v>
      </c>
      <c r="G154" s="188">
        <f t="shared" si="8"/>
        <v>605</v>
      </c>
      <c r="H154" s="188">
        <f t="shared" si="9"/>
        <v>4235</v>
      </c>
      <c r="I154" s="801">
        <f t="shared" si="10"/>
        <v>605</v>
      </c>
      <c r="J154" s="801">
        <f t="shared" si="11"/>
        <v>4235</v>
      </c>
      <c r="K154" s="1683"/>
      <c r="L154" s="1683"/>
      <c r="M154" s="1683"/>
      <c r="N154" s="1683"/>
      <c r="O154" s="1679"/>
    </row>
    <row r="155" spans="1:15" ht="18">
      <c r="A155" s="799" t="s">
        <v>1269</v>
      </c>
      <c r="B155" s="798" t="s">
        <v>1276</v>
      </c>
      <c r="C155" s="798" t="s">
        <v>1271</v>
      </c>
      <c r="D155" s="146" t="s">
        <v>1272</v>
      </c>
      <c r="E155" s="146">
        <v>550</v>
      </c>
      <c r="F155" s="146">
        <v>3850</v>
      </c>
      <c r="G155" s="188">
        <f t="shared" si="8"/>
        <v>605</v>
      </c>
      <c r="H155" s="188">
        <f t="shared" si="9"/>
        <v>4235</v>
      </c>
      <c r="I155" s="801">
        <f t="shared" si="10"/>
        <v>605</v>
      </c>
      <c r="J155" s="801">
        <f t="shared" si="11"/>
        <v>4235</v>
      </c>
      <c r="K155" s="1683"/>
      <c r="L155" s="1683"/>
      <c r="M155" s="1683"/>
      <c r="N155" s="1683"/>
      <c r="O155" s="1679"/>
    </row>
    <row r="156" spans="1:15" ht="18">
      <c r="A156" s="799" t="s">
        <v>1277</v>
      </c>
      <c r="B156" s="798" t="s">
        <v>1278</v>
      </c>
      <c r="C156" s="798"/>
      <c r="D156" s="146" t="s">
        <v>1279</v>
      </c>
      <c r="E156" s="146">
        <v>140</v>
      </c>
      <c r="F156" s="146">
        <v>980</v>
      </c>
      <c r="G156" s="188">
        <f t="shared" si="8"/>
        <v>154</v>
      </c>
      <c r="H156" s="188">
        <f t="shared" si="9"/>
        <v>1078</v>
      </c>
      <c r="I156" s="801">
        <f t="shared" si="10"/>
        <v>154</v>
      </c>
      <c r="J156" s="801">
        <f t="shared" si="11"/>
        <v>1078</v>
      </c>
      <c r="K156" s="1683"/>
      <c r="L156" s="1683"/>
      <c r="M156" s="1683"/>
      <c r="N156" s="1683"/>
      <c r="O156" s="1679"/>
    </row>
    <row r="157" spans="1:15" ht="18">
      <c r="A157" s="799" t="s">
        <v>1280</v>
      </c>
      <c r="B157" s="798" t="s">
        <v>1281</v>
      </c>
      <c r="C157" s="798" t="s">
        <v>1282</v>
      </c>
      <c r="D157" s="146" t="s">
        <v>1283</v>
      </c>
      <c r="E157" s="146">
        <v>300</v>
      </c>
      <c r="F157" s="146">
        <v>2100</v>
      </c>
      <c r="G157" s="188">
        <f t="shared" si="8"/>
        <v>330</v>
      </c>
      <c r="H157" s="188">
        <f t="shared" si="9"/>
        <v>2310</v>
      </c>
      <c r="I157" s="801">
        <f t="shared" si="10"/>
        <v>330</v>
      </c>
      <c r="J157" s="801">
        <f t="shared" si="11"/>
        <v>2310</v>
      </c>
      <c r="K157" s="1683"/>
      <c r="L157" s="1683"/>
      <c r="M157" s="1683"/>
      <c r="N157" s="1683"/>
      <c r="O157" s="1679"/>
    </row>
    <row r="158" spans="1:15" ht="18">
      <c r="A158" s="799" t="s">
        <v>1280</v>
      </c>
      <c r="B158" s="798" t="s">
        <v>1284</v>
      </c>
      <c r="C158" s="798" t="s">
        <v>1282</v>
      </c>
      <c r="D158" s="146" t="s">
        <v>1283</v>
      </c>
      <c r="E158" s="146">
        <v>300</v>
      </c>
      <c r="F158" s="146">
        <v>2100</v>
      </c>
      <c r="G158" s="188">
        <f t="shared" si="8"/>
        <v>330</v>
      </c>
      <c r="H158" s="188">
        <f t="shared" si="9"/>
        <v>2310</v>
      </c>
      <c r="I158" s="801">
        <f t="shared" si="10"/>
        <v>330</v>
      </c>
      <c r="J158" s="801">
        <f t="shared" si="11"/>
        <v>2310</v>
      </c>
      <c r="K158" s="1683"/>
      <c r="L158" s="1683"/>
      <c r="M158" s="1683"/>
      <c r="N158" s="1683"/>
      <c r="O158" s="1679"/>
    </row>
    <row r="159" spans="1:15" ht="18">
      <c r="A159" s="799" t="s">
        <v>1280</v>
      </c>
      <c r="B159" s="798" t="s">
        <v>1285</v>
      </c>
      <c r="C159" s="798" t="s">
        <v>1282</v>
      </c>
      <c r="D159" s="146" t="s">
        <v>1283</v>
      </c>
      <c r="E159" s="146">
        <v>300</v>
      </c>
      <c r="F159" s="146">
        <v>2100</v>
      </c>
      <c r="G159" s="188">
        <f t="shared" si="8"/>
        <v>330</v>
      </c>
      <c r="H159" s="188">
        <f t="shared" si="9"/>
        <v>2310</v>
      </c>
      <c r="I159" s="801">
        <f t="shared" si="10"/>
        <v>330</v>
      </c>
      <c r="J159" s="801">
        <f t="shared" si="11"/>
        <v>2310</v>
      </c>
      <c r="K159" s="1683"/>
      <c r="L159" s="1683"/>
      <c r="M159" s="1683"/>
      <c r="N159" s="1683"/>
      <c r="O159" s="1679"/>
    </row>
    <row r="160" spans="1:15" ht="18">
      <c r="A160" s="799" t="s">
        <v>1280</v>
      </c>
      <c r="B160" s="798" t="s">
        <v>1286</v>
      </c>
      <c r="C160" s="798" t="s">
        <v>1282</v>
      </c>
      <c r="D160" s="146" t="s">
        <v>1283</v>
      </c>
      <c r="E160" s="146">
        <v>300</v>
      </c>
      <c r="F160" s="146">
        <v>2100</v>
      </c>
      <c r="G160" s="188">
        <f t="shared" si="8"/>
        <v>330</v>
      </c>
      <c r="H160" s="188">
        <f t="shared" si="9"/>
        <v>2310</v>
      </c>
      <c r="I160" s="801">
        <f t="shared" si="10"/>
        <v>330</v>
      </c>
      <c r="J160" s="801">
        <f t="shared" si="11"/>
        <v>2310</v>
      </c>
      <c r="K160" s="1683"/>
      <c r="L160" s="1683"/>
      <c r="M160" s="1683"/>
      <c r="N160" s="1683"/>
      <c r="O160" s="1679"/>
    </row>
    <row r="161" spans="1:15" ht="18">
      <c r="A161" s="799" t="s">
        <v>1280</v>
      </c>
      <c r="B161" s="798" t="s">
        <v>1287</v>
      </c>
      <c r="C161" s="798" t="s">
        <v>1282</v>
      </c>
      <c r="D161" s="146" t="s">
        <v>1283</v>
      </c>
      <c r="E161" s="146">
        <v>300</v>
      </c>
      <c r="F161" s="146">
        <v>2100</v>
      </c>
      <c r="G161" s="188">
        <f t="shared" si="8"/>
        <v>330</v>
      </c>
      <c r="H161" s="188">
        <f t="shared" si="9"/>
        <v>2310</v>
      </c>
      <c r="I161" s="801">
        <f t="shared" si="10"/>
        <v>330</v>
      </c>
      <c r="J161" s="801">
        <f t="shared" si="11"/>
        <v>2310</v>
      </c>
      <c r="K161" s="1683"/>
      <c r="L161" s="1683"/>
      <c r="M161" s="1683"/>
      <c r="N161" s="1683"/>
      <c r="O161" s="1679"/>
    </row>
    <row r="162" spans="1:15" ht="18">
      <c r="A162" s="799" t="s">
        <v>1280</v>
      </c>
      <c r="B162" s="798" t="s">
        <v>1288</v>
      </c>
      <c r="C162" s="798" t="s">
        <v>1282</v>
      </c>
      <c r="D162" s="146" t="s">
        <v>1283</v>
      </c>
      <c r="E162" s="146">
        <v>300</v>
      </c>
      <c r="F162" s="146">
        <v>2100</v>
      </c>
      <c r="G162" s="188">
        <f t="shared" si="8"/>
        <v>330</v>
      </c>
      <c r="H162" s="188">
        <f t="shared" si="9"/>
        <v>2310</v>
      </c>
      <c r="I162" s="801">
        <f t="shared" si="10"/>
        <v>330</v>
      </c>
      <c r="J162" s="801">
        <f t="shared" si="11"/>
        <v>2310</v>
      </c>
      <c r="K162" s="1683"/>
      <c r="L162" s="1683"/>
      <c r="M162" s="1683"/>
      <c r="N162" s="1683"/>
      <c r="O162" s="1679"/>
    </row>
    <row r="163" spans="1:15" ht="18">
      <c r="A163" s="799" t="s">
        <v>1280</v>
      </c>
      <c r="B163" s="798" t="s">
        <v>1289</v>
      </c>
      <c r="C163" s="798" t="s">
        <v>1282</v>
      </c>
      <c r="D163" s="146" t="s">
        <v>1283</v>
      </c>
      <c r="E163" s="146">
        <v>300</v>
      </c>
      <c r="F163" s="146">
        <v>2100</v>
      </c>
      <c r="G163" s="188">
        <f t="shared" si="8"/>
        <v>330</v>
      </c>
      <c r="H163" s="188">
        <f t="shared" si="9"/>
        <v>2310</v>
      </c>
      <c r="I163" s="801">
        <f t="shared" si="10"/>
        <v>330</v>
      </c>
      <c r="J163" s="801">
        <f t="shared" si="11"/>
        <v>2310</v>
      </c>
      <c r="K163" s="1683"/>
      <c r="L163" s="1683"/>
      <c r="M163" s="1683"/>
      <c r="N163" s="1683"/>
      <c r="O163" s="1679"/>
    </row>
    <row r="164" spans="1:15" ht="18">
      <c r="A164" s="799" t="s">
        <v>1280</v>
      </c>
      <c r="B164" s="798" t="s">
        <v>1290</v>
      </c>
      <c r="C164" s="798" t="s">
        <v>1282</v>
      </c>
      <c r="D164" s="146" t="s">
        <v>1283</v>
      </c>
      <c r="E164" s="146">
        <v>300</v>
      </c>
      <c r="F164" s="146">
        <v>2100</v>
      </c>
      <c r="G164" s="188">
        <f t="shared" si="8"/>
        <v>330</v>
      </c>
      <c r="H164" s="188">
        <f t="shared" si="9"/>
        <v>2310</v>
      </c>
      <c r="I164" s="801">
        <f t="shared" si="10"/>
        <v>330</v>
      </c>
      <c r="J164" s="801">
        <f t="shared" si="11"/>
        <v>2310</v>
      </c>
      <c r="K164" s="1683"/>
      <c r="L164" s="1683"/>
      <c r="M164" s="1683"/>
      <c r="N164" s="1683"/>
      <c r="O164" s="1679"/>
    </row>
    <row r="165" spans="1:15" ht="18">
      <c r="A165" s="799" t="s">
        <v>1280</v>
      </c>
      <c r="B165" s="798" t="s">
        <v>1291</v>
      </c>
      <c r="C165" s="798" t="s">
        <v>1282</v>
      </c>
      <c r="D165" s="146" t="s">
        <v>1283</v>
      </c>
      <c r="E165" s="146">
        <v>300</v>
      </c>
      <c r="F165" s="146">
        <v>2100</v>
      </c>
      <c r="G165" s="188">
        <f t="shared" si="8"/>
        <v>330</v>
      </c>
      <c r="H165" s="188">
        <f t="shared" si="9"/>
        <v>2310</v>
      </c>
      <c r="I165" s="801">
        <f t="shared" si="10"/>
        <v>330</v>
      </c>
      <c r="J165" s="801">
        <f t="shared" si="11"/>
        <v>2310</v>
      </c>
      <c r="K165" s="1683"/>
      <c r="L165" s="1683"/>
      <c r="M165" s="1683"/>
      <c r="N165" s="1683"/>
      <c r="O165" s="1679"/>
    </row>
    <row r="166" spans="1:15" ht="18">
      <c r="A166" s="799" t="s">
        <v>1292</v>
      </c>
      <c r="B166" s="798" t="s">
        <v>1293</v>
      </c>
      <c r="C166" s="798" t="s">
        <v>1282</v>
      </c>
      <c r="D166" s="146" t="s">
        <v>1283</v>
      </c>
      <c r="E166" s="146">
        <v>440</v>
      </c>
      <c r="F166" s="146">
        <v>3080</v>
      </c>
      <c r="G166" s="188">
        <f t="shared" si="8"/>
        <v>484.00000000000006</v>
      </c>
      <c r="H166" s="188">
        <f t="shared" si="9"/>
        <v>3388.0000000000005</v>
      </c>
      <c r="I166" s="801">
        <f t="shared" si="10"/>
        <v>484.00000000000006</v>
      </c>
      <c r="J166" s="801">
        <f t="shared" si="11"/>
        <v>3388.0000000000005</v>
      </c>
      <c r="K166" s="1683"/>
      <c r="L166" s="1683"/>
      <c r="M166" s="1683"/>
      <c r="N166" s="1683"/>
      <c r="O166" s="1679"/>
    </row>
    <row r="167" spans="1:15" ht="18">
      <c r="A167" s="799" t="s">
        <v>1292</v>
      </c>
      <c r="B167" s="798" t="s">
        <v>1294</v>
      </c>
      <c r="C167" s="798" t="s">
        <v>1282</v>
      </c>
      <c r="D167" s="146" t="s">
        <v>1283</v>
      </c>
      <c r="E167" s="146">
        <v>440</v>
      </c>
      <c r="F167" s="146">
        <v>3080</v>
      </c>
      <c r="G167" s="188">
        <f t="shared" si="8"/>
        <v>484.00000000000006</v>
      </c>
      <c r="H167" s="188">
        <f t="shared" si="9"/>
        <v>3388.0000000000005</v>
      </c>
      <c r="I167" s="801">
        <f t="shared" si="10"/>
        <v>484.00000000000006</v>
      </c>
      <c r="J167" s="801">
        <f t="shared" si="11"/>
        <v>3388.0000000000005</v>
      </c>
      <c r="K167" s="1683"/>
      <c r="L167" s="1683"/>
      <c r="M167" s="1683"/>
      <c r="N167" s="1683"/>
      <c r="O167" s="1679"/>
    </row>
    <row r="168" spans="1:15" ht="18">
      <c r="A168" s="799" t="s">
        <v>1295</v>
      </c>
      <c r="B168" s="798" t="s">
        <v>1296</v>
      </c>
      <c r="C168" s="798"/>
      <c r="D168" s="146" t="s">
        <v>1297</v>
      </c>
      <c r="E168" s="146">
        <v>120</v>
      </c>
      <c r="F168" s="146">
        <v>840</v>
      </c>
      <c r="G168" s="188">
        <f t="shared" si="8"/>
        <v>132</v>
      </c>
      <c r="H168" s="188">
        <f t="shared" si="9"/>
        <v>924.00000000000011</v>
      </c>
      <c r="I168" s="801">
        <f t="shared" si="10"/>
        <v>132</v>
      </c>
      <c r="J168" s="801">
        <f t="shared" si="11"/>
        <v>924.00000000000011</v>
      </c>
      <c r="K168" s="1683"/>
      <c r="L168" s="1683"/>
      <c r="M168" s="1683"/>
      <c r="N168" s="1683"/>
      <c r="O168" s="1679"/>
    </row>
    <row r="169" spans="1:15" ht="18">
      <c r="A169" s="799" t="s">
        <v>1298</v>
      </c>
      <c r="B169" s="798" t="s">
        <v>1299</v>
      </c>
      <c r="C169" s="798"/>
      <c r="D169" s="146" t="s">
        <v>1297</v>
      </c>
      <c r="E169" s="146">
        <v>100</v>
      </c>
      <c r="F169" s="146">
        <v>700</v>
      </c>
      <c r="G169" s="188">
        <f t="shared" si="8"/>
        <v>110.00000000000001</v>
      </c>
      <c r="H169" s="188">
        <f t="shared" si="9"/>
        <v>770.00000000000011</v>
      </c>
      <c r="I169" s="801">
        <f t="shared" si="10"/>
        <v>110.00000000000001</v>
      </c>
      <c r="J169" s="801">
        <f t="shared" si="11"/>
        <v>770.00000000000011</v>
      </c>
      <c r="K169" s="1683"/>
      <c r="L169" s="1683"/>
      <c r="M169" s="1683"/>
      <c r="N169" s="1683"/>
      <c r="O169" s="1679"/>
    </row>
    <row r="170" spans="1:15" ht="18">
      <c r="A170" s="799" t="s">
        <v>1298</v>
      </c>
      <c r="B170" s="798" t="s">
        <v>1300</v>
      </c>
      <c r="C170" s="798"/>
      <c r="D170" s="146" t="s">
        <v>1297</v>
      </c>
      <c r="E170" s="146">
        <v>100</v>
      </c>
      <c r="F170" s="146">
        <v>700</v>
      </c>
      <c r="G170" s="188">
        <f t="shared" si="8"/>
        <v>110.00000000000001</v>
      </c>
      <c r="H170" s="188">
        <f t="shared" si="9"/>
        <v>770.00000000000011</v>
      </c>
      <c r="I170" s="801">
        <f t="shared" si="10"/>
        <v>110.00000000000001</v>
      </c>
      <c r="J170" s="801">
        <f t="shared" si="11"/>
        <v>770.00000000000011</v>
      </c>
      <c r="K170" s="1683"/>
      <c r="L170" s="1683"/>
      <c r="M170" s="1683"/>
      <c r="N170" s="1683"/>
      <c r="O170" s="1679"/>
    </row>
    <row r="171" spans="1:15" ht="18">
      <c r="A171" s="799" t="s">
        <v>1301</v>
      </c>
      <c r="B171" s="798" t="s">
        <v>1302</v>
      </c>
      <c r="C171" s="798" t="s">
        <v>1303</v>
      </c>
      <c r="D171" s="146" t="s">
        <v>1304</v>
      </c>
      <c r="E171" s="146">
        <v>130</v>
      </c>
      <c r="F171" s="146">
        <v>910</v>
      </c>
      <c r="G171" s="188">
        <f t="shared" si="8"/>
        <v>143</v>
      </c>
      <c r="H171" s="188">
        <f t="shared" si="9"/>
        <v>1001.0000000000001</v>
      </c>
      <c r="I171" s="801">
        <f t="shared" si="10"/>
        <v>143</v>
      </c>
      <c r="J171" s="801">
        <f t="shared" si="11"/>
        <v>1001.0000000000001</v>
      </c>
      <c r="K171" s="1683"/>
      <c r="L171" s="1683"/>
      <c r="M171" s="1683"/>
      <c r="N171" s="1683"/>
      <c r="O171" s="1679"/>
    </row>
    <row r="172" spans="1:15" ht="18">
      <c r="A172" s="799" t="s">
        <v>1301</v>
      </c>
      <c r="B172" s="798" t="s">
        <v>1305</v>
      </c>
      <c r="C172" s="798" t="s">
        <v>1303</v>
      </c>
      <c r="D172" s="146" t="s">
        <v>1304</v>
      </c>
      <c r="E172" s="146">
        <v>130</v>
      </c>
      <c r="F172" s="146">
        <v>910</v>
      </c>
      <c r="G172" s="188">
        <f t="shared" si="8"/>
        <v>143</v>
      </c>
      <c r="H172" s="188">
        <f t="shared" si="9"/>
        <v>1001.0000000000001</v>
      </c>
      <c r="I172" s="801">
        <f t="shared" si="10"/>
        <v>143</v>
      </c>
      <c r="J172" s="801">
        <f t="shared" si="11"/>
        <v>1001.0000000000001</v>
      </c>
      <c r="K172" s="1683"/>
      <c r="L172" s="1683"/>
      <c r="M172" s="1683"/>
      <c r="N172" s="1683"/>
      <c r="O172" s="1679"/>
    </row>
    <row r="173" spans="1:15" ht="18">
      <c r="A173" s="799" t="s">
        <v>1306</v>
      </c>
      <c r="B173" s="798"/>
      <c r="C173" s="798" t="s">
        <v>1307</v>
      </c>
      <c r="D173" s="146" t="s">
        <v>1308</v>
      </c>
      <c r="E173" s="146">
        <v>1150</v>
      </c>
      <c r="F173" s="146">
        <v>8050</v>
      </c>
      <c r="G173" s="188">
        <f t="shared" si="8"/>
        <v>1265</v>
      </c>
      <c r="H173" s="188">
        <f t="shared" si="9"/>
        <v>8855</v>
      </c>
      <c r="I173" s="801">
        <f t="shared" si="10"/>
        <v>1265</v>
      </c>
      <c r="J173" s="801">
        <f t="shared" si="11"/>
        <v>8855</v>
      </c>
      <c r="K173" s="1683"/>
      <c r="L173" s="1683"/>
      <c r="M173" s="1683"/>
      <c r="N173" s="1683"/>
      <c r="O173" s="1679"/>
    </row>
    <row r="174" spans="1:15" ht="26.25" thickBot="1">
      <c r="A174" s="800" t="s">
        <v>1413</v>
      </c>
      <c r="B174" s="797" t="s">
        <v>1414</v>
      </c>
      <c r="C174" s="797"/>
      <c r="D174" s="176"/>
      <c r="E174" s="176">
        <v>7650</v>
      </c>
      <c r="F174" s="176">
        <v>53550</v>
      </c>
      <c r="G174" s="1191">
        <f t="shared" ref="G174" si="12">E174*1.1</f>
        <v>8415</v>
      </c>
      <c r="H174" s="1191">
        <f t="shared" ref="H174" si="13">F174*1.1</f>
        <v>58905.000000000007</v>
      </c>
      <c r="I174" s="1236">
        <f t="shared" ref="I174" si="14">G174</f>
        <v>8415</v>
      </c>
      <c r="J174" s="1236">
        <f t="shared" ref="J174" si="15">H174</f>
        <v>58905.000000000007</v>
      </c>
      <c r="K174" s="1684"/>
      <c r="L174" s="1684"/>
      <c r="M174" s="1684"/>
      <c r="N174" s="1684"/>
      <c r="O174" s="1680"/>
    </row>
    <row r="175" spans="1:15" ht="15.75" thickBot="1">
      <c r="A175" s="1138" t="s">
        <v>1309</v>
      </c>
      <c r="B175" s="1139"/>
      <c r="C175" s="1139"/>
      <c r="D175" s="1139"/>
      <c r="E175" s="1139"/>
      <c r="F175" s="1139"/>
      <c r="G175" s="1139"/>
      <c r="H175" s="1139"/>
      <c r="I175" s="1140"/>
      <c r="J175" s="1140"/>
      <c r="K175" s="1140"/>
      <c r="L175" s="1140"/>
      <c r="M175" s="1140"/>
      <c r="N175" s="1141"/>
    </row>
  </sheetData>
  <mergeCells count="15">
    <mergeCell ref="O4:O174"/>
    <mergeCell ref="A1:L1"/>
    <mergeCell ref="K2:L2"/>
    <mergeCell ref="K4:K174"/>
    <mergeCell ref="L4:L174"/>
    <mergeCell ref="I2:J2"/>
    <mergeCell ref="M2:N2"/>
    <mergeCell ref="M4:M174"/>
    <mergeCell ref="N4:N174"/>
    <mergeCell ref="A2:A3"/>
    <mergeCell ref="B2:B3"/>
    <mergeCell ref="C2:C3"/>
    <mergeCell ref="D2:D3"/>
    <mergeCell ref="E2:F2"/>
    <mergeCell ref="G2:H2"/>
  </mergeCells>
  <printOptions horizontalCentered="1"/>
  <pageMargins left="1.24" right="0.19" top="1.03" bottom="0.73" header="0.5" footer="0.56999999999999995"/>
  <pageSetup paperSize="9" scale="81"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pageSetUpPr fitToPage="1"/>
  </sheetPr>
  <dimension ref="A1:O33"/>
  <sheetViews>
    <sheetView tabSelected="1" view="pageLayout" topLeftCell="A25" zoomScaleNormal="100" zoomScaleSheetLayoutView="130" workbookViewId="0">
      <selection activeCell="D24" sqref="D24"/>
    </sheetView>
  </sheetViews>
  <sheetFormatPr defaultColWidth="9.28515625" defaultRowHeight="12.75"/>
  <cols>
    <col min="1" max="1" width="6.28515625" style="5" customWidth="1"/>
    <col min="2" max="2" width="32.85546875" style="5" customWidth="1"/>
    <col min="3" max="3" width="27.42578125" style="5" hidden="1" customWidth="1"/>
    <col min="4" max="4" width="9.28515625" style="5" customWidth="1"/>
    <col min="5" max="6" width="9.42578125" style="5" hidden="1" customWidth="1"/>
    <col min="7" max="8" width="8.28515625" style="5" hidden="1" customWidth="1"/>
    <col min="9" max="9" width="9.85546875" style="5" hidden="1" customWidth="1"/>
    <col min="10" max="10" width="14.5703125" style="5" hidden="1" customWidth="1"/>
    <col min="11" max="11" width="15.28515625" style="5" hidden="1" customWidth="1"/>
    <col min="12" max="12" width="15.28515625" style="5" customWidth="1"/>
    <col min="13" max="14" width="14.5703125" style="5" customWidth="1"/>
    <col min="15" max="16384" width="9.28515625" style="5"/>
  </cols>
  <sheetData>
    <row r="1" spans="1:15" ht="29.25" thickBot="1">
      <c r="A1" s="1690" t="s">
        <v>2187</v>
      </c>
      <c r="B1" s="1690"/>
      <c r="C1" s="1690"/>
      <c r="D1" s="1690"/>
      <c r="E1" s="1690"/>
      <c r="F1" s="1690"/>
      <c r="G1" s="1690"/>
      <c r="H1" s="1690"/>
      <c r="I1" s="1690"/>
      <c r="J1" s="1690"/>
      <c r="K1" s="1690"/>
      <c r="L1" s="1690"/>
      <c r="M1" s="1690"/>
      <c r="N1" s="1690"/>
      <c r="O1" s="1690"/>
    </row>
    <row r="2" spans="1:15" ht="57" customHeight="1">
      <c r="A2" s="1143" t="s">
        <v>1839</v>
      </c>
      <c r="B2" s="1689" t="s">
        <v>2188</v>
      </c>
      <c r="C2" s="1689"/>
      <c r="D2" s="1144" t="s">
        <v>2154</v>
      </c>
      <c r="E2" s="1145" t="s">
        <v>1387</v>
      </c>
      <c r="F2" s="1145" t="s">
        <v>1404</v>
      </c>
      <c r="G2" s="1145" t="s">
        <v>1424</v>
      </c>
      <c r="H2" s="1145" t="s">
        <v>1430</v>
      </c>
      <c r="I2" s="1145" t="s">
        <v>1462</v>
      </c>
      <c r="J2" s="1145" t="s">
        <v>2189</v>
      </c>
      <c r="K2" s="1145" t="s">
        <v>2190</v>
      </c>
      <c r="L2" s="1145" t="s">
        <v>2191</v>
      </c>
      <c r="M2" s="1145" t="s">
        <v>2192</v>
      </c>
      <c r="N2" s="1145" t="s">
        <v>2543</v>
      </c>
      <c r="O2" s="1146" t="s">
        <v>2023</v>
      </c>
    </row>
    <row r="3" spans="1:15" ht="23.25">
      <c r="A3" s="611" t="s">
        <v>1860</v>
      </c>
      <c r="B3" s="703" t="s">
        <v>1405</v>
      </c>
      <c r="C3" s="703"/>
      <c r="D3" s="709"/>
      <c r="E3" s="709"/>
      <c r="F3" s="710"/>
      <c r="G3" s="644"/>
      <c r="H3" s="644"/>
      <c r="I3" s="644"/>
      <c r="J3" s="644"/>
      <c r="K3" s="644"/>
      <c r="L3" s="644"/>
      <c r="M3" s="644"/>
      <c r="N3" s="1237"/>
      <c r="O3" s="1147"/>
    </row>
    <row r="4" spans="1:15" ht="23.25">
      <c r="A4" s="1148">
        <v>1</v>
      </c>
      <c r="B4" s="148" t="s">
        <v>1310</v>
      </c>
      <c r="C4" s="147" t="s">
        <v>1311</v>
      </c>
      <c r="D4" s="700" t="s">
        <v>2193</v>
      </c>
      <c r="E4" s="160">
        <v>675</v>
      </c>
      <c r="F4" s="160">
        <v>675</v>
      </c>
      <c r="G4" s="160">
        <f>F4</f>
        <v>675</v>
      </c>
      <c r="H4" s="160">
        <f>G4</f>
        <v>675</v>
      </c>
      <c r="I4" s="160">
        <f>H4</f>
        <v>675</v>
      </c>
      <c r="J4" s="701">
        <f>I4*1.1</f>
        <v>742.50000000000011</v>
      </c>
      <c r="K4" s="702">
        <f>J4</f>
        <v>742.50000000000011</v>
      </c>
      <c r="L4" s="702">
        <f>K4</f>
        <v>742.50000000000011</v>
      </c>
      <c r="M4" s="702">
        <f>L4</f>
        <v>742.50000000000011</v>
      </c>
      <c r="N4" s="1238">
        <f>M4</f>
        <v>742.50000000000011</v>
      </c>
      <c r="O4" s="1149"/>
    </row>
    <row r="5" spans="1:15" ht="23.25">
      <c r="A5" s="1148">
        <v>2</v>
      </c>
      <c r="B5" s="148" t="s">
        <v>1312</v>
      </c>
      <c r="C5" s="147" t="s">
        <v>1313</v>
      </c>
      <c r="D5" s="700" t="s">
        <v>2193</v>
      </c>
      <c r="E5" s="160">
        <v>901</v>
      </c>
      <c r="F5" s="160">
        <v>901</v>
      </c>
      <c r="G5" s="160">
        <f t="shared" ref="G5:G12" si="0">F5</f>
        <v>901</v>
      </c>
      <c r="H5" s="160">
        <f t="shared" ref="H5:H12" si="1">G5</f>
        <v>901</v>
      </c>
      <c r="I5" s="160">
        <f t="shared" ref="I5:I12" si="2">H5</f>
        <v>901</v>
      </c>
      <c r="J5" s="701">
        <f t="shared" ref="J5:J32" si="3">I5*1.1</f>
        <v>991.10000000000014</v>
      </c>
      <c r="K5" s="702">
        <f t="shared" ref="K5:K32" si="4">J5</f>
        <v>991.10000000000014</v>
      </c>
      <c r="L5" s="702">
        <f t="shared" ref="L5:L32" si="5">K5</f>
        <v>991.10000000000014</v>
      </c>
      <c r="M5" s="702">
        <f t="shared" ref="M5:M32" si="6">L5</f>
        <v>991.10000000000014</v>
      </c>
      <c r="N5" s="1238">
        <f t="shared" ref="N5:N12" si="7">M5</f>
        <v>991.10000000000014</v>
      </c>
      <c r="O5" s="1149"/>
    </row>
    <row r="6" spans="1:15" ht="23.25">
      <c r="A6" s="1148">
        <v>3</v>
      </c>
      <c r="B6" s="148" t="s">
        <v>1314</v>
      </c>
      <c r="C6" s="147" t="s">
        <v>1315</v>
      </c>
      <c r="D6" s="700" t="s">
        <v>2193</v>
      </c>
      <c r="E6" s="160">
        <v>1125</v>
      </c>
      <c r="F6" s="160">
        <v>1125</v>
      </c>
      <c r="G6" s="160">
        <f t="shared" si="0"/>
        <v>1125</v>
      </c>
      <c r="H6" s="160">
        <f t="shared" si="1"/>
        <v>1125</v>
      </c>
      <c r="I6" s="160">
        <f t="shared" si="2"/>
        <v>1125</v>
      </c>
      <c r="J6" s="701">
        <f t="shared" si="3"/>
        <v>1237.5</v>
      </c>
      <c r="K6" s="702">
        <f t="shared" si="4"/>
        <v>1237.5</v>
      </c>
      <c r="L6" s="702">
        <f t="shared" si="5"/>
        <v>1237.5</v>
      </c>
      <c r="M6" s="702">
        <f t="shared" si="6"/>
        <v>1237.5</v>
      </c>
      <c r="N6" s="1238">
        <f t="shared" si="7"/>
        <v>1237.5</v>
      </c>
      <c r="O6" s="1149"/>
    </row>
    <row r="7" spans="1:15" ht="23.25">
      <c r="A7" s="1148">
        <v>4</v>
      </c>
      <c r="B7" s="148" t="s">
        <v>1316</v>
      </c>
      <c r="C7" s="147" t="s">
        <v>1317</v>
      </c>
      <c r="D7" s="700" t="s">
        <v>2193</v>
      </c>
      <c r="E7" s="160">
        <v>1351</v>
      </c>
      <c r="F7" s="160">
        <v>1351</v>
      </c>
      <c r="G7" s="160">
        <f t="shared" si="0"/>
        <v>1351</v>
      </c>
      <c r="H7" s="160">
        <f t="shared" si="1"/>
        <v>1351</v>
      </c>
      <c r="I7" s="160">
        <f t="shared" si="2"/>
        <v>1351</v>
      </c>
      <c r="J7" s="701">
        <f t="shared" si="3"/>
        <v>1486.1000000000001</v>
      </c>
      <c r="K7" s="702">
        <f t="shared" si="4"/>
        <v>1486.1000000000001</v>
      </c>
      <c r="L7" s="702">
        <f t="shared" si="5"/>
        <v>1486.1000000000001</v>
      </c>
      <c r="M7" s="702">
        <f t="shared" si="6"/>
        <v>1486.1000000000001</v>
      </c>
      <c r="N7" s="1238">
        <f t="shared" si="7"/>
        <v>1486.1000000000001</v>
      </c>
      <c r="O7" s="1149"/>
    </row>
    <row r="8" spans="1:15" ht="23.25">
      <c r="A8" s="1148">
        <v>5</v>
      </c>
      <c r="B8" s="148" t="s">
        <v>1318</v>
      </c>
      <c r="C8" s="147" t="s">
        <v>1319</v>
      </c>
      <c r="D8" s="700" t="s">
        <v>2193</v>
      </c>
      <c r="E8" s="160">
        <v>1576</v>
      </c>
      <c r="F8" s="160">
        <v>1576</v>
      </c>
      <c r="G8" s="160">
        <f t="shared" si="0"/>
        <v>1576</v>
      </c>
      <c r="H8" s="160">
        <f t="shared" si="1"/>
        <v>1576</v>
      </c>
      <c r="I8" s="160">
        <f t="shared" si="2"/>
        <v>1576</v>
      </c>
      <c r="J8" s="701">
        <f t="shared" si="3"/>
        <v>1733.6000000000001</v>
      </c>
      <c r="K8" s="702">
        <f t="shared" si="4"/>
        <v>1733.6000000000001</v>
      </c>
      <c r="L8" s="702">
        <f t="shared" si="5"/>
        <v>1733.6000000000001</v>
      </c>
      <c r="M8" s="702">
        <f t="shared" si="6"/>
        <v>1733.6000000000001</v>
      </c>
      <c r="N8" s="1238">
        <f t="shared" si="7"/>
        <v>1733.6000000000001</v>
      </c>
      <c r="O8" s="1149"/>
    </row>
    <row r="9" spans="1:15" ht="23.25">
      <c r="A9" s="1148">
        <v>6</v>
      </c>
      <c r="B9" s="148" t="s">
        <v>1320</v>
      </c>
      <c r="C9" s="147" t="s">
        <v>1321</v>
      </c>
      <c r="D9" s="700" t="s">
        <v>2193</v>
      </c>
      <c r="E9" s="160">
        <v>1801</v>
      </c>
      <c r="F9" s="160">
        <v>1801</v>
      </c>
      <c r="G9" s="160">
        <f t="shared" si="0"/>
        <v>1801</v>
      </c>
      <c r="H9" s="160">
        <f t="shared" si="1"/>
        <v>1801</v>
      </c>
      <c r="I9" s="160">
        <f t="shared" si="2"/>
        <v>1801</v>
      </c>
      <c r="J9" s="701">
        <f t="shared" si="3"/>
        <v>1981.1000000000001</v>
      </c>
      <c r="K9" s="702">
        <f t="shared" si="4"/>
        <v>1981.1000000000001</v>
      </c>
      <c r="L9" s="702">
        <f t="shared" si="5"/>
        <v>1981.1000000000001</v>
      </c>
      <c r="M9" s="702">
        <f t="shared" si="6"/>
        <v>1981.1000000000001</v>
      </c>
      <c r="N9" s="1238">
        <f t="shared" si="7"/>
        <v>1981.1000000000001</v>
      </c>
      <c r="O9" s="1149"/>
    </row>
    <row r="10" spans="1:15" ht="23.25">
      <c r="A10" s="1148">
        <v>7</v>
      </c>
      <c r="B10" s="148" t="s">
        <v>1322</v>
      </c>
      <c r="C10" s="147" t="s">
        <v>1323</v>
      </c>
      <c r="D10" s="700" t="s">
        <v>2193</v>
      </c>
      <c r="E10" s="160">
        <v>2026</v>
      </c>
      <c r="F10" s="160">
        <v>2026</v>
      </c>
      <c r="G10" s="160">
        <f t="shared" si="0"/>
        <v>2026</v>
      </c>
      <c r="H10" s="160">
        <f t="shared" si="1"/>
        <v>2026</v>
      </c>
      <c r="I10" s="160">
        <f t="shared" si="2"/>
        <v>2026</v>
      </c>
      <c r="J10" s="701">
        <f t="shared" si="3"/>
        <v>2228.6000000000004</v>
      </c>
      <c r="K10" s="702">
        <f t="shared" si="4"/>
        <v>2228.6000000000004</v>
      </c>
      <c r="L10" s="702">
        <f t="shared" si="5"/>
        <v>2228.6000000000004</v>
      </c>
      <c r="M10" s="702">
        <f t="shared" si="6"/>
        <v>2228.6000000000004</v>
      </c>
      <c r="N10" s="1238">
        <f t="shared" si="7"/>
        <v>2228.6000000000004</v>
      </c>
      <c r="O10" s="1149"/>
    </row>
    <row r="11" spans="1:15" ht="23.25">
      <c r="A11" s="1148">
        <v>8</v>
      </c>
      <c r="B11" s="148" t="s">
        <v>1324</v>
      </c>
      <c r="C11" s="147" t="s">
        <v>1325</v>
      </c>
      <c r="D11" s="700" t="s">
        <v>2193</v>
      </c>
      <c r="E11" s="160">
        <v>2252</v>
      </c>
      <c r="F11" s="160">
        <v>2252</v>
      </c>
      <c r="G11" s="160">
        <f t="shared" si="0"/>
        <v>2252</v>
      </c>
      <c r="H11" s="160">
        <f t="shared" si="1"/>
        <v>2252</v>
      </c>
      <c r="I11" s="160">
        <f t="shared" si="2"/>
        <v>2252</v>
      </c>
      <c r="J11" s="701">
        <f t="shared" si="3"/>
        <v>2477.2000000000003</v>
      </c>
      <c r="K11" s="702">
        <f t="shared" si="4"/>
        <v>2477.2000000000003</v>
      </c>
      <c r="L11" s="702">
        <f t="shared" si="5"/>
        <v>2477.2000000000003</v>
      </c>
      <c r="M11" s="702">
        <f t="shared" si="6"/>
        <v>2477.2000000000003</v>
      </c>
      <c r="N11" s="1238">
        <f t="shared" si="7"/>
        <v>2477.2000000000003</v>
      </c>
      <c r="O11" s="1149"/>
    </row>
    <row r="12" spans="1:15" ht="23.25">
      <c r="A12" s="1148">
        <v>9</v>
      </c>
      <c r="B12" s="148" t="s">
        <v>1326</v>
      </c>
      <c r="C12" s="147" t="s">
        <v>1327</v>
      </c>
      <c r="D12" s="700" t="s">
        <v>2193</v>
      </c>
      <c r="E12" s="160">
        <v>2702</v>
      </c>
      <c r="F12" s="160">
        <v>2702</v>
      </c>
      <c r="G12" s="160">
        <f t="shared" si="0"/>
        <v>2702</v>
      </c>
      <c r="H12" s="160">
        <f t="shared" si="1"/>
        <v>2702</v>
      </c>
      <c r="I12" s="160">
        <f t="shared" si="2"/>
        <v>2702</v>
      </c>
      <c r="J12" s="701">
        <f t="shared" si="3"/>
        <v>2972.2000000000003</v>
      </c>
      <c r="K12" s="702">
        <f t="shared" si="4"/>
        <v>2972.2000000000003</v>
      </c>
      <c r="L12" s="702">
        <f t="shared" si="5"/>
        <v>2972.2000000000003</v>
      </c>
      <c r="M12" s="702">
        <f t="shared" si="6"/>
        <v>2972.2000000000003</v>
      </c>
      <c r="N12" s="1238">
        <f t="shared" si="7"/>
        <v>2972.2000000000003</v>
      </c>
      <c r="O12" s="1149"/>
    </row>
    <row r="13" spans="1:15" ht="23.25">
      <c r="A13" s="611" t="s">
        <v>1861</v>
      </c>
      <c r="B13" s="703" t="s">
        <v>1329</v>
      </c>
      <c r="C13" s="704" t="s">
        <v>1330</v>
      </c>
      <c r="D13" s="705"/>
      <c r="E13" s="706"/>
      <c r="F13" s="706"/>
      <c r="G13" s="706"/>
      <c r="H13" s="706"/>
      <c r="I13" s="706"/>
      <c r="J13" s="707"/>
      <c r="K13" s="708"/>
      <c r="L13" s="708"/>
      <c r="M13" s="708"/>
      <c r="N13" s="1239"/>
      <c r="O13" s="1147"/>
    </row>
    <row r="14" spans="1:15" ht="23.25">
      <c r="A14" s="1148">
        <v>1</v>
      </c>
      <c r="B14" s="148" t="s">
        <v>1310</v>
      </c>
      <c r="C14" s="147" t="s">
        <v>1311</v>
      </c>
      <c r="D14" s="700" t="s">
        <v>2193</v>
      </c>
      <c r="E14" s="160">
        <v>427</v>
      </c>
      <c r="F14" s="160">
        <v>427</v>
      </c>
      <c r="G14" s="160">
        <f>F14</f>
        <v>427</v>
      </c>
      <c r="H14" s="160">
        <f>G14</f>
        <v>427</v>
      </c>
      <c r="I14" s="160">
        <f>H14</f>
        <v>427</v>
      </c>
      <c r="J14" s="701">
        <f t="shared" si="3"/>
        <v>469.70000000000005</v>
      </c>
      <c r="K14" s="702">
        <f t="shared" si="4"/>
        <v>469.70000000000005</v>
      </c>
      <c r="L14" s="702">
        <f t="shared" si="5"/>
        <v>469.70000000000005</v>
      </c>
      <c r="M14" s="702">
        <f t="shared" si="6"/>
        <v>469.70000000000005</v>
      </c>
      <c r="N14" s="1238">
        <f>M14</f>
        <v>469.70000000000005</v>
      </c>
      <c r="O14" s="1149"/>
    </row>
    <row r="15" spans="1:15" ht="23.25">
      <c r="A15" s="1148">
        <v>2</v>
      </c>
      <c r="B15" s="148" t="s">
        <v>1312</v>
      </c>
      <c r="C15" s="147" t="s">
        <v>1313</v>
      </c>
      <c r="D15" s="700" t="s">
        <v>2193</v>
      </c>
      <c r="E15" s="160">
        <v>569</v>
      </c>
      <c r="F15" s="160">
        <v>569</v>
      </c>
      <c r="G15" s="160">
        <f t="shared" ref="G15:G22" si="8">F15</f>
        <v>569</v>
      </c>
      <c r="H15" s="160">
        <f t="shared" ref="H15:H22" si="9">G15</f>
        <v>569</v>
      </c>
      <c r="I15" s="160">
        <f t="shared" ref="I15:I32" si="10">H15</f>
        <v>569</v>
      </c>
      <c r="J15" s="701">
        <f t="shared" si="3"/>
        <v>625.90000000000009</v>
      </c>
      <c r="K15" s="702">
        <f t="shared" si="4"/>
        <v>625.90000000000009</v>
      </c>
      <c r="L15" s="702">
        <f t="shared" si="5"/>
        <v>625.90000000000009</v>
      </c>
      <c r="M15" s="702">
        <f t="shared" si="6"/>
        <v>625.90000000000009</v>
      </c>
      <c r="N15" s="1238">
        <f t="shared" ref="N15:N22" si="11">M15</f>
        <v>625.90000000000009</v>
      </c>
      <c r="O15" s="1149"/>
    </row>
    <row r="16" spans="1:15" ht="23.25">
      <c r="A16" s="1148">
        <v>3</v>
      </c>
      <c r="B16" s="148" t="s">
        <v>1314</v>
      </c>
      <c r="C16" s="147" t="s">
        <v>1315</v>
      </c>
      <c r="D16" s="700" t="s">
        <v>2193</v>
      </c>
      <c r="E16" s="160">
        <v>711</v>
      </c>
      <c r="F16" s="160">
        <v>711</v>
      </c>
      <c r="G16" s="160">
        <f t="shared" si="8"/>
        <v>711</v>
      </c>
      <c r="H16" s="160">
        <f t="shared" si="9"/>
        <v>711</v>
      </c>
      <c r="I16" s="160">
        <f t="shared" si="10"/>
        <v>711</v>
      </c>
      <c r="J16" s="701">
        <f t="shared" si="3"/>
        <v>782.1</v>
      </c>
      <c r="K16" s="702">
        <f t="shared" si="4"/>
        <v>782.1</v>
      </c>
      <c r="L16" s="702">
        <f t="shared" si="5"/>
        <v>782.1</v>
      </c>
      <c r="M16" s="702">
        <f t="shared" si="6"/>
        <v>782.1</v>
      </c>
      <c r="N16" s="1238">
        <f t="shared" si="11"/>
        <v>782.1</v>
      </c>
      <c r="O16" s="1149"/>
    </row>
    <row r="17" spans="1:15" ht="23.25">
      <c r="A17" s="1148">
        <v>4</v>
      </c>
      <c r="B17" s="148" t="s">
        <v>1316</v>
      </c>
      <c r="C17" s="147" t="s">
        <v>1317</v>
      </c>
      <c r="D17" s="700" t="s">
        <v>2193</v>
      </c>
      <c r="E17" s="160">
        <v>854</v>
      </c>
      <c r="F17" s="160">
        <v>854</v>
      </c>
      <c r="G17" s="160">
        <f t="shared" si="8"/>
        <v>854</v>
      </c>
      <c r="H17" s="160">
        <f t="shared" si="9"/>
        <v>854</v>
      </c>
      <c r="I17" s="160">
        <f t="shared" si="10"/>
        <v>854</v>
      </c>
      <c r="J17" s="701">
        <f t="shared" si="3"/>
        <v>939.40000000000009</v>
      </c>
      <c r="K17" s="702">
        <f t="shared" si="4"/>
        <v>939.40000000000009</v>
      </c>
      <c r="L17" s="702">
        <f t="shared" si="5"/>
        <v>939.40000000000009</v>
      </c>
      <c r="M17" s="702">
        <f t="shared" si="6"/>
        <v>939.40000000000009</v>
      </c>
      <c r="N17" s="1238">
        <f t="shared" si="11"/>
        <v>939.40000000000009</v>
      </c>
      <c r="O17" s="1149"/>
    </row>
    <row r="18" spans="1:15" ht="23.25">
      <c r="A18" s="1148">
        <v>5</v>
      </c>
      <c r="B18" s="148" t="s">
        <v>1318</v>
      </c>
      <c r="C18" s="147" t="s">
        <v>1319</v>
      </c>
      <c r="D18" s="700" t="s">
        <v>2193</v>
      </c>
      <c r="E18" s="160">
        <v>996</v>
      </c>
      <c r="F18" s="160">
        <v>996</v>
      </c>
      <c r="G18" s="160">
        <f t="shared" si="8"/>
        <v>996</v>
      </c>
      <c r="H18" s="160">
        <f t="shared" si="9"/>
        <v>996</v>
      </c>
      <c r="I18" s="160">
        <f t="shared" si="10"/>
        <v>996</v>
      </c>
      <c r="J18" s="701">
        <f t="shared" si="3"/>
        <v>1095.6000000000001</v>
      </c>
      <c r="K18" s="702">
        <f t="shared" si="4"/>
        <v>1095.6000000000001</v>
      </c>
      <c r="L18" s="702">
        <f t="shared" si="5"/>
        <v>1095.6000000000001</v>
      </c>
      <c r="M18" s="702">
        <f t="shared" si="6"/>
        <v>1095.6000000000001</v>
      </c>
      <c r="N18" s="1238">
        <f t="shared" si="11"/>
        <v>1095.6000000000001</v>
      </c>
      <c r="O18" s="1149"/>
    </row>
    <row r="19" spans="1:15" ht="23.25">
      <c r="A19" s="1148">
        <v>6</v>
      </c>
      <c r="B19" s="148" t="s">
        <v>1320</v>
      </c>
      <c r="C19" s="147" t="s">
        <v>1321</v>
      </c>
      <c r="D19" s="700" t="s">
        <v>2193</v>
      </c>
      <c r="E19" s="160">
        <v>1139</v>
      </c>
      <c r="F19" s="160">
        <v>1139</v>
      </c>
      <c r="G19" s="160">
        <f t="shared" si="8"/>
        <v>1139</v>
      </c>
      <c r="H19" s="160">
        <f t="shared" si="9"/>
        <v>1139</v>
      </c>
      <c r="I19" s="160">
        <f t="shared" si="10"/>
        <v>1139</v>
      </c>
      <c r="J19" s="701">
        <f t="shared" si="3"/>
        <v>1252.9000000000001</v>
      </c>
      <c r="K19" s="702">
        <f t="shared" si="4"/>
        <v>1252.9000000000001</v>
      </c>
      <c r="L19" s="702">
        <f t="shared" si="5"/>
        <v>1252.9000000000001</v>
      </c>
      <c r="M19" s="702">
        <f t="shared" si="6"/>
        <v>1252.9000000000001</v>
      </c>
      <c r="N19" s="1238">
        <f t="shared" si="11"/>
        <v>1252.9000000000001</v>
      </c>
      <c r="O19" s="1149"/>
    </row>
    <row r="20" spans="1:15" ht="23.25">
      <c r="A20" s="1148">
        <v>7</v>
      </c>
      <c r="B20" s="148" t="s">
        <v>1322</v>
      </c>
      <c r="C20" s="147" t="s">
        <v>1323</v>
      </c>
      <c r="D20" s="700" t="s">
        <v>2193</v>
      </c>
      <c r="E20" s="160">
        <v>1281</v>
      </c>
      <c r="F20" s="160">
        <v>1281</v>
      </c>
      <c r="G20" s="160">
        <f t="shared" si="8"/>
        <v>1281</v>
      </c>
      <c r="H20" s="160">
        <f t="shared" si="9"/>
        <v>1281</v>
      </c>
      <c r="I20" s="160">
        <f t="shared" si="10"/>
        <v>1281</v>
      </c>
      <c r="J20" s="701">
        <f t="shared" si="3"/>
        <v>1409.1000000000001</v>
      </c>
      <c r="K20" s="702">
        <f t="shared" si="4"/>
        <v>1409.1000000000001</v>
      </c>
      <c r="L20" s="702">
        <f t="shared" si="5"/>
        <v>1409.1000000000001</v>
      </c>
      <c r="M20" s="702">
        <f t="shared" si="6"/>
        <v>1409.1000000000001</v>
      </c>
      <c r="N20" s="1238">
        <f t="shared" si="11"/>
        <v>1409.1000000000001</v>
      </c>
      <c r="O20" s="1149"/>
    </row>
    <row r="21" spans="1:15" ht="23.25">
      <c r="A21" s="1148">
        <v>8</v>
      </c>
      <c r="B21" s="148" t="s">
        <v>1324</v>
      </c>
      <c r="C21" s="147" t="s">
        <v>1325</v>
      </c>
      <c r="D21" s="700" t="s">
        <v>2193</v>
      </c>
      <c r="E21" s="160">
        <v>1424</v>
      </c>
      <c r="F21" s="160">
        <v>1424</v>
      </c>
      <c r="G21" s="160">
        <f t="shared" si="8"/>
        <v>1424</v>
      </c>
      <c r="H21" s="160">
        <f t="shared" si="9"/>
        <v>1424</v>
      </c>
      <c r="I21" s="160">
        <f t="shared" si="10"/>
        <v>1424</v>
      </c>
      <c r="J21" s="701">
        <f t="shared" si="3"/>
        <v>1566.4</v>
      </c>
      <c r="K21" s="702">
        <f t="shared" si="4"/>
        <v>1566.4</v>
      </c>
      <c r="L21" s="702">
        <f t="shared" si="5"/>
        <v>1566.4</v>
      </c>
      <c r="M21" s="702">
        <f t="shared" si="6"/>
        <v>1566.4</v>
      </c>
      <c r="N21" s="1238">
        <f t="shared" si="11"/>
        <v>1566.4</v>
      </c>
      <c r="O21" s="1149"/>
    </row>
    <row r="22" spans="1:15" ht="23.25">
      <c r="A22" s="1148">
        <v>9</v>
      </c>
      <c r="B22" s="148" t="s">
        <v>1326</v>
      </c>
      <c r="C22" s="147" t="s">
        <v>1327</v>
      </c>
      <c r="D22" s="700" t="s">
        <v>2193</v>
      </c>
      <c r="E22" s="160">
        <v>1708</v>
      </c>
      <c r="F22" s="160">
        <v>1708</v>
      </c>
      <c r="G22" s="160">
        <f t="shared" si="8"/>
        <v>1708</v>
      </c>
      <c r="H22" s="160">
        <f t="shared" si="9"/>
        <v>1708</v>
      </c>
      <c r="I22" s="160">
        <f t="shared" si="10"/>
        <v>1708</v>
      </c>
      <c r="J22" s="701">
        <f t="shared" si="3"/>
        <v>1878.8000000000002</v>
      </c>
      <c r="K22" s="702">
        <f t="shared" si="4"/>
        <v>1878.8000000000002</v>
      </c>
      <c r="L22" s="702">
        <f t="shared" si="5"/>
        <v>1878.8000000000002</v>
      </c>
      <c r="M22" s="702">
        <f t="shared" si="6"/>
        <v>1878.8000000000002</v>
      </c>
      <c r="N22" s="1238">
        <f t="shared" si="11"/>
        <v>1878.8000000000002</v>
      </c>
      <c r="O22" s="1149"/>
    </row>
    <row r="23" spans="1:15" ht="23.25">
      <c r="A23" s="611" t="s">
        <v>1862</v>
      </c>
      <c r="B23" s="703" t="s">
        <v>1332</v>
      </c>
      <c r="C23" s="711" t="s">
        <v>1333</v>
      </c>
      <c r="D23" s="705"/>
      <c r="E23" s="706"/>
      <c r="F23" s="706"/>
      <c r="G23" s="706"/>
      <c r="H23" s="706"/>
      <c r="I23" s="706"/>
      <c r="J23" s="707"/>
      <c r="K23" s="708"/>
      <c r="L23" s="708"/>
      <c r="M23" s="708"/>
      <c r="N23" s="1239"/>
      <c r="O23" s="1147"/>
    </row>
    <row r="24" spans="1:15" ht="23.25">
      <c r="A24" s="1148">
        <v>1</v>
      </c>
      <c r="B24" s="148" t="s">
        <v>1334</v>
      </c>
      <c r="C24" s="149"/>
      <c r="D24" s="700" t="s">
        <v>2194</v>
      </c>
      <c r="E24" s="161">
        <v>90</v>
      </c>
      <c r="F24" s="160">
        <v>90</v>
      </c>
      <c r="G24" s="160">
        <f>F24</f>
        <v>90</v>
      </c>
      <c r="H24" s="160">
        <f>G24</f>
        <v>90</v>
      </c>
      <c r="I24" s="160">
        <f t="shared" si="10"/>
        <v>90</v>
      </c>
      <c r="J24" s="701">
        <f t="shared" si="3"/>
        <v>99.000000000000014</v>
      </c>
      <c r="K24" s="702">
        <f t="shared" si="4"/>
        <v>99.000000000000014</v>
      </c>
      <c r="L24" s="702">
        <f t="shared" si="5"/>
        <v>99.000000000000014</v>
      </c>
      <c r="M24" s="702">
        <f t="shared" si="6"/>
        <v>99.000000000000014</v>
      </c>
      <c r="N24" s="1238">
        <f>M24</f>
        <v>99.000000000000014</v>
      </c>
      <c r="O24" s="1149"/>
    </row>
    <row r="25" spans="1:15" ht="23.25">
      <c r="A25" s="1148">
        <v>2</v>
      </c>
      <c r="B25" s="148" t="s">
        <v>1335</v>
      </c>
      <c r="C25" s="147" t="s">
        <v>1336</v>
      </c>
      <c r="D25" s="700" t="s">
        <v>2194</v>
      </c>
      <c r="E25" s="160">
        <v>133</v>
      </c>
      <c r="F25" s="160">
        <v>133</v>
      </c>
      <c r="G25" s="160">
        <f t="shared" ref="G25:G28" si="12">F25</f>
        <v>133</v>
      </c>
      <c r="H25" s="160">
        <f t="shared" ref="H25:H28" si="13">G25</f>
        <v>133</v>
      </c>
      <c r="I25" s="160">
        <f t="shared" si="10"/>
        <v>133</v>
      </c>
      <c r="J25" s="701">
        <f t="shared" si="3"/>
        <v>146.30000000000001</v>
      </c>
      <c r="K25" s="702">
        <f t="shared" si="4"/>
        <v>146.30000000000001</v>
      </c>
      <c r="L25" s="702">
        <f t="shared" si="5"/>
        <v>146.30000000000001</v>
      </c>
      <c r="M25" s="702">
        <f t="shared" si="6"/>
        <v>146.30000000000001</v>
      </c>
      <c r="N25" s="1238">
        <f t="shared" ref="N25:N28" si="14">M25</f>
        <v>146.30000000000001</v>
      </c>
      <c r="O25" s="1149"/>
    </row>
    <row r="26" spans="1:15" ht="23.25">
      <c r="A26" s="1148">
        <v>3</v>
      </c>
      <c r="B26" s="148" t="s">
        <v>1337</v>
      </c>
      <c r="C26" s="147" t="s">
        <v>1338</v>
      </c>
      <c r="D26" s="700" t="s">
        <v>2194</v>
      </c>
      <c r="E26" s="160">
        <v>193</v>
      </c>
      <c r="F26" s="160">
        <v>193</v>
      </c>
      <c r="G26" s="160">
        <f t="shared" si="12"/>
        <v>193</v>
      </c>
      <c r="H26" s="160">
        <f t="shared" si="13"/>
        <v>193</v>
      </c>
      <c r="I26" s="160">
        <f t="shared" si="10"/>
        <v>193</v>
      </c>
      <c r="J26" s="701">
        <f t="shared" si="3"/>
        <v>212.3</v>
      </c>
      <c r="K26" s="702">
        <f t="shared" si="4"/>
        <v>212.3</v>
      </c>
      <c r="L26" s="702">
        <f t="shared" si="5"/>
        <v>212.3</v>
      </c>
      <c r="M26" s="702">
        <f t="shared" si="6"/>
        <v>212.3</v>
      </c>
      <c r="N26" s="1238">
        <f t="shared" si="14"/>
        <v>212.3</v>
      </c>
      <c r="O26" s="1149"/>
    </row>
    <row r="27" spans="1:15" ht="23.25">
      <c r="A27" s="1148">
        <v>4</v>
      </c>
      <c r="B27" s="148" t="s">
        <v>1339</v>
      </c>
      <c r="C27" s="147" t="s">
        <v>1340</v>
      </c>
      <c r="D27" s="700" t="s">
        <v>2194</v>
      </c>
      <c r="E27" s="160">
        <v>250</v>
      </c>
      <c r="F27" s="160">
        <v>250</v>
      </c>
      <c r="G27" s="160">
        <f t="shared" si="12"/>
        <v>250</v>
      </c>
      <c r="H27" s="160">
        <f t="shared" si="13"/>
        <v>250</v>
      </c>
      <c r="I27" s="160">
        <f t="shared" si="10"/>
        <v>250</v>
      </c>
      <c r="J27" s="701">
        <f t="shared" si="3"/>
        <v>275</v>
      </c>
      <c r="K27" s="702">
        <f t="shared" si="4"/>
        <v>275</v>
      </c>
      <c r="L27" s="702">
        <f t="shared" si="5"/>
        <v>275</v>
      </c>
      <c r="M27" s="702">
        <f t="shared" si="6"/>
        <v>275</v>
      </c>
      <c r="N27" s="1238">
        <f t="shared" si="14"/>
        <v>275</v>
      </c>
      <c r="O27" s="1149"/>
    </row>
    <row r="28" spans="1:15" ht="23.25">
      <c r="A28" s="1148">
        <v>5</v>
      </c>
      <c r="B28" s="148" t="s">
        <v>1341</v>
      </c>
      <c r="C28" s="147"/>
      <c r="D28" s="700" t="s">
        <v>2194</v>
      </c>
      <c r="E28" s="160">
        <v>285</v>
      </c>
      <c r="F28" s="160">
        <v>285</v>
      </c>
      <c r="G28" s="160">
        <f t="shared" si="12"/>
        <v>285</v>
      </c>
      <c r="H28" s="160">
        <f t="shared" si="13"/>
        <v>285</v>
      </c>
      <c r="I28" s="160">
        <f t="shared" si="10"/>
        <v>285</v>
      </c>
      <c r="J28" s="701">
        <f t="shared" si="3"/>
        <v>313.5</v>
      </c>
      <c r="K28" s="702">
        <f t="shared" si="4"/>
        <v>313.5</v>
      </c>
      <c r="L28" s="702">
        <f t="shared" si="5"/>
        <v>313.5</v>
      </c>
      <c r="M28" s="702">
        <f t="shared" si="6"/>
        <v>313.5</v>
      </c>
      <c r="N28" s="1238">
        <f t="shared" si="14"/>
        <v>313.5</v>
      </c>
      <c r="O28" s="1149"/>
    </row>
    <row r="29" spans="1:15" ht="23.25">
      <c r="A29" s="611" t="s">
        <v>1863</v>
      </c>
      <c r="B29" s="703" t="s">
        <v>1342</v>
      </c>
      <c r="C29" s="704"/>
      <c r="D29" s="705"/>
      <c r="E29" s="706"/>
      <c r="F29" s="706"/>
      <c r="G29" s="706"/>
      <c r="H29" s="706"/>
      <c r="I29" s="706"/>
      <c r="J29" s="707"/>
      <c r="K29" s="708"/>
      <c r="L29" s="708"/>
      <c r="M29" s="708"/>
      <c r="N29" s="1239"/>
      <c r="O29" s="1147"/>
    </row>
    <row r="30" spans="1:15" ht="23.25">
      <c r="A30" s="1148">
        <v>1</v>
      </c>
      <c r="B30" s="148" t="s">
        <v>1343</v>
      </c>
      <c r="C30" s="147"/>
      <c r="D30" s="700" t="s">
        <v>2194</v>
      </c>
      <c r="E30" s="160">
        <v>75</v>
      </c>
      <c r="F30" s="160">
        <v>75</v>
      </c>
      <c r="G30" s="160">
        <f>F30</f>
        <v>75</v>
      </c>
      <c r="H30" s="160">
        <f>G30</f>
        <v>75</v>
      </c>
      <c r="I30" s="160">
        <f t="shared" si="10"/>
        <v>75</v>
      </c>
      <c r="J30" s="701">
        <f t="shared" si="3"/>
        <v>82.5</v>
      </c>
      <c r="K30" s="702">
        <f t="shared" si="4"/>
        <v>82.5</v>
      </c>
      <c r="L30" s="702">
        <f t="shared" si="5"/>
        <v>82.5</v>
      </c>
      <c r="M30" s="702">
        <f t="shared" si="6"/>
        <v>82.5</v>
      </c>
      <c r="N30" s="1238">
        <f>M30</f>
        <v>82.5</v>
      </c>
      <c r="O30" s="1149"/>
    </row>
    <row r="31" spans="1:15" ht="23.25">
      <c r="A31" s="1148">
        <v>2</v>
      </c>
      <c r="B31" s="148" t="s">
        <v>1344</v>
      </c>
      <c r="C31" s="147"/>
      <c r="D31" s="700" t="s">
        <v>2194</v>
      </c>
      <c r="E31" s="160">
        <v>96</v>
      </c>
      <c r="F31" s="160">
        <v>96</v>
      </c>
      <c r="G31" s="160">
        <f t="shared" ref="G31:G32" si="15">F31</f>
        <v>96</v>
      </c>
      <c r="H31" s="160">
        <f t="shared" ref="H31:H32" si="16">G31</f>
        <v>96</v>
      </c>
      <c r="I31" s="160">
        <f t="shared" si="10"/>
        <v>96</v>
      </c>
      <c r="J31" s="701">
        <f t="shared" si="3"/>
        <v>105.60000000000001</v>
      </c>
      <c r="K31" s="702">
        <f t="shared" si="4"/>
        <v>105.60000000000001</v>
      </c>
      <c r="L31" s="702">
        <f t="shared" si="5"/>
        <v>105.60000000000001</v>
      </c>
      <c r="M31" s="702">
        <f t="shared" si="6"/>
        <v>105.60000000000001</v>
      </c>
      <c r="N31" s="1238">
        <f t="shared" ref="N31:N32" si="17">M31</f>
        <v>105.60000000000001</v>
      </c>
      <c r="O31" s="1149"/>
    </row>
    <row r="32" spans="1:15" ht="24" thickBot="1">
      <c r="A32" s="1150">
        <v>3</v>
      </c>
      <c r="B32" s="1151" t="s">
        <v>1335</v>
      </c>
      <c r="C32" s="1152"/>
      <c r="D32" s="1153" t="s">
        <v>2194</v>
      </c>
      <c r="E32" s="1154">
        <v>150</v>
      </c>
      <c r="F32" s="1154">
        <v>150</v>
      </c>
      <c r="G32" s="1154">
        <f t="shared" si="15"/>
        <v>150</v>
      </c>
      <c r="H32" s="1154">
        <f t="shared" si="16"/>
        <v>150</v>
      </c>
      <c r="I32" s="1154">
        <f t="shared" si="10"/>
        <v>150</v>
      </c>
      <c r="J32" s="1155">
        <f t="shared" si="3"/>
        <v>165</v>
      </c>
      <c r="K32" s="1156">
        <f t="shared" si="4"/>
        <v>165</v>
      </c>
      <c r="L32" s="1156">
        <f t="shared" si="5"/>
        <v>165</v>
      </c>
      <c r="M32" s="1156">
        <f t="shared" si="6"/>
        <v>165</v>
      </c>
      <c r="N32" s="1238">
        <f t="shared" si="17"/>
        <v>165</v>
      </c>
      <c r="O32" s="1157"/>
    </row>
    <row r="33" spans="12:14">
      <c r="L33" s="1142"/>
      <c r="M33" s="699"/>
      <c r="N33" s="699"/>
    </row>
  </sheetData>
  <protectedRanges>
    <protectedRange password="D968" sqref="E4:E23 F4:J32" name="Range1"/>
    <protectedRange password="D968" sqref="E25:E32" name="Range3"/>
  </protectedRanges>
  <mergeCells count="2">
    <mergeCell ref="B2:C2"/>
    <mergeCell ref="A1:O1"/>
  </mergeCells>
  <printOptions horizontalCentered="1"/>
  <pageMargins left="1.24" right="0.19" top="1.03" bottom="0.73" header="0.5" footer="0.56999999999999995"/>
  <pageSetup paperSize="9" scale="85"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pageSetUpPr fitToPage="1"/>
  </sheetPr>
  <dimension ref="A1:O31"/>
  <sheetViews>
    <sheetView tabSelected="1" view="pageLayout" zoomScaleNormal="100" zoomScaleSheetLayoutView="100" workbookViewId="0">
      <selection activeCell="D24" sqref="D24"/>
    </sheetView>
  </sheetViews>
  <sheetFormatPr defaultColWidth="9.28515625" defaultRowHeight="12.75"/>
  <cols>
    <col min="1" max="1" width="6" style="5" customWidth="1"/>
    <col min="2" max="2" width="34.28515625" style="5" customWidth="1"/>
    <col min="3" max="3" width="16.28515625" style="5" customWidth="1"/>
    <col min="4" max="4" width="6.28515625" style="5" customWidth="1"/>
    <col min="5" max="5" width="10.28515625" style="5" hidden="1" customWidth="1"/>
    <col min="6" max="6" width="10.5703125" style="5" hidden="1" customWidth="1"/>
    <col min="7" max="8" width="11.28515625" style="5" hidden="1" customWidth="1"/>
    <col min="9" max="9" width="10.7109375" style="5" hidden="1" customWidth="1"/>
    <col min="10" max="10" width="11.42578125" style="5" hidden="1" customWidth="1"/>
    <col min="11" max="11" width="11.7109375" style="5" hidden="1" customWidth="1"/>
    <col min="12" max="14" width="11.5703125" style="5" customWidth="1"/>
    <col min="15" max="16384" width="9.28515625" style="5"/>
  </cols>
  <sheetData>
    <row r="1" spans="1:15" ht="27" customHeight="1" thickBot="1">
      <c r="A1" s="1691" t="s">
        <v>2251</v>
      </c>
      <c r="B1" s="1691"/>
      <c r="C1" s="1691"/>
      <c r="D1" s="1691"/>
      <c r="E1" s="1691"/>
      <c r="F1" s="1691"/>
      <c r="G1" s="1691"/>
      <c r="H1" s="1691"/>
      <c r="I1" s="1691"/>
      <c r="J1" s="1691"/>
      <c r="K1" s="1691"/>
      <c r="L1" s="1691"/>
      <c r="M1" s="1691"/>
      <c r="N1" s="1691"/>
      <c r="O1" s="1691"/>
    </row>
    <row r="2" spans="1:15" s="151" customFormat="1" ht="58.5">
      <c r="A2" s="1158" t="s">
        <v>1354</v>
      </c>
      <c r="B2" s="1159" t="s">
        <v>1355</v>
      </c>
      <c r="C2" s="1159" t="s">
        <v>1356</v>
      </c>
      <c r="D2" s="1160" t="s">
        <v>1357</v>
      </c>
      <c r="E2" s="1161" t="s">
        <v>1406</v>
      </c>
      <c r="F2" s="1161" t="s">
        <v>1407</v>
      </c>
      <c r="G2" s="1161" t="s">
        <v>1426</v>
      </c>
      <c r="H2" s="1161" t="s">
        <v>1431</v>
      </c>
      <c r="I2" s="1161" t="s">
        <v>1434</v>
      </c>
      <c r="J2" s="1161" t="s">
        <v>1465</v>
      </c>
      <c r="K2" s="1162" t="s">
        <v>2190</v>
      </c>
      <c r="L2" s="1162" t="s">
        <v>2191</v>
      </c>
      <c r="M2" s="1162" t="s">
        <v>2192</v>
      </c>
      <c r="N2" s="1162" t="s">
        <v>2543</v>
      </c>
      <c r="O2" s="1163" t="s">
        <v>9</v>
      </c>
    </row>
    <row r="3" spans="1:15" ht="28.5">
      <c r="A3" s="1164" t="s">
        <v>1358</v>
      </c>
      <c r="B3" s="643" t="s">
        <v>2340</v>
      </c>
      <c r="C3" s="1165"/>
      <c r="D3" s="1165"/>
      <c r="E3" s="1165"/>
      <c r="F3" s="1165"/>
      <c r="G3" s="1165"/>
      <c r="H3" s="1165"/>
      <c r="I3" s="1165"/>
      <c r="J3" s="1165"/>
      <c r="K3" s="1165"/>
      <c r="L3" s="1165"/>
      <c r="M3" s="1165"/>
      <c r="N3" s="1165"/>
      <c r="O3" s="1147"/>
    </row>
    <row r="4" spans="1:15" ht="23.25">
      <c r="A4" s="437">
        <v>1</v>
      </c>
      <c r="B4" s="152" t="s">
        <v>1360</v>
      </c>
      <c r="C4" s="152" t="s">
        <v>1359</v>
      </c>
      <c r="D4" s="153" t="s">
        <v>733</v>
      </c>
      <c r="E4" s="158">
        <v>1720</v>
      </c>
      <c r="F4" s="158">
        <v>850</v>
      </c>
      <c r="G4" s="158">
        <f>F4</f>
        <v>850</v>
      </c>
      <c r="H4" s="158">
        <f>G4</f>
        <v>850</v>
      </c>
      <c r="I4" s="158">
        <f>H4</f>
        <v>850</v>
      </c>
      <c r="J4" s="158">
        <f>I4*1.1</f>
        <v>935.00000000000011</v>
      </c>
      <c r="K4" s="158">
        <f>J4</f>
        <v>935.00000000000011</v>
      </c>
      <c r="L4" s="158">
        <f>K4</f>
        <v>935.00000000000011</v>
      </c>
      <c r="M4" s="158">
        <f>L4</f>
        <v>935.00000000000011</v>
      </c>
      <c r="N4" s="1214">
        <f>M4</f>
        <v>935.00000000000011</v>
      </c>
      <c r="O4" s="1149"/>
    </row>
    <row r="5" spans="1:15" ht="23.25">
      <c r="A5" s="437">
        <v>2</v>
      </c>
      <c r="B5" s="152" t="s">
        <v>1360</v>
      </c>
      <c r="C5" s="152" t="s">
        <v>1361</v>
      </c>
      <c r="D5" s="153" t="s">
        <v>733</v>
      </c>
      <c r="E5" s="158">
        <v>2690</v>
      </c>
      <c r="F5" s="158">
        <v>1300</v>
      </c>
      <c r="G5" s="158">
        <f t="shared" ref="G5:G11" si="0">F5</f>
        <v>1300</v>
      </c>
      <c r="H5" s="158">
        <f t="shared" ref="H5:H11" si="1">G5</f>
        <v>1300</v>
      </c>
      <c r="I5" s="158">
        <f t="shared" ref="I5:I11" si="2">H5</f>
        <v>1300</v>
      </c>
      <c r="J5" s="158">
        <f t="shared" ref="J5:J26" si="3">I5*1.1</f>
        <v>1430.0000000000002</v>
      </c>
      <c r="K5" s="158">
        <f t="shared" ref="K5:L26" si="4">J5</f>
        <v>1430.0000000000002</v>
      </c>
      <c r="L5" s="158">
        <f t="shared" si="4"/>
        <v>1430.0000000000002</v>
      </c>
      <c r="M5" s="158">
        <f t="shared" ref="M5:N26" si="5">L5</f>
        <v>1430.0000000000002</v>
      </c>
      <c r="N5" s="1214">
        <f t="shared" ref="N5:N11" si="6">M5</f>
        <v>1430.0000000000002</v>
      </c>
      <c r="O5" s="1149"/>
    </row>
    <row r="6" spans="1:15" ht="23.25">
      <c r="A6" s="437">
        <v>3</v>
      </c>
      <c r="B6" s="152" t="s">
        <v>1360</v>
      </c>
      <c r="C6" s="152" t="s">
        <v>1362</v>
      </c>
      <c r="D6" s="153" t="s">
        <v>733</v>
      </c>
      <c r="E6" s="158">
        <v>5380</v>
      </c>
      <c r="F6" s="158">
        <v>3200</v>
      </c>
      <c r="G6" s="158">
        <f t="shared" si="0"/>
        <v>3200</v>
      </c>
      <c r="H6" s="158">
        <f t="shared" si="1"/>
        <v>3200</v>
      </c>
      <c r="I6" s="158">
        <f t="shared" si="2"/>
        <v>3200</v>
      </c>
      <c r="J6" s="158">
        <f t="shared" si="3"/>
        <v>3520.0000000000005</v>
      </c>
      <c r="K6" s="158">
        <f t="shared" si="4"/>
        <v>3520.0000000000005</v>
      </c>
      <c r="L6" s="158">
        <f t="shared" si="4"/>
        <v>3520.0000000000005</v>
      </c>
      <c r="M6" s="158">
        <f t="shared" si="5"/>
        <v>3520.0000000000005</v>
      </c>
      <c r="N6" s="1214">
        <f t="shared" si="6"/>
        <v>3520.0000000000005</v>
      </c>
      <c r="O6" s="1149"/>
    </row>
    <row r="7" spans="1:15" ht="23.25">
      <c r="A7" s="437">
        <v>4</v>
      </c>
      <c r="B7" s="152" t="s">
        <v>1360</v>
      </c>
      <c r="C7" s="152" t="s">
        <v>1363</v>
      </c>
      <c r="D7" s="153" t="s">
        <v>733</v>
      </c>
      <c r="E7" s="158">
        <v>6720</v>
      </c>
      <c r="F7" s="158">
        <v>3500</v>
      </c>
      <c r="G7" s="158">
        <f t="shared" si="0"/>
        <v>3500</v>
      </c>
      <c r="H7" s="158">
        <f t="shared" si="1"/>
        <v>3500</v>
      </c>
      <c r="I7" s="158">
        <f t="shared" si="2"/>
        <v>3500</v>
      </c>
      <c r="J7" s="158">
        <f t="shared" si="3"/>
        <v>3850.0000000000005</v>
      </c>
      <c r="K7" s="158">
        <f t="shared" si="4"/>
        <v>3850.0000000000005</v>
      </c>
      <c r="L7" s="158">
        <f t="shared" si="4"/>
        <v>3850.0000000000005</v>
      </c>
      <c r="M7" s="158">
        <f t="shared" si="5"/>
        <v>3850.0000000000005</v>
      </c>
      <c r="N7" s="1214">
        <f t="shared" si="6"/>
        <v>3850.0000000000005</v>
      </c>
      <c r="O7" s="1149"/>
    </row>
    <row r="8" spans="1:15" ht="23.25">
      <c r="A8" s="437">
        <v>5</v>
      </c>
      <c r="B8" s="152" t="s">
        <v>1360</v>
      </c>
      <c r="C8" s="152" t="s">
        <v>1364</v>
      </c>
      <c r="D8" s="153" t="s">
        <v>733</v>
      </c>
      <c r="E8" s="158">
        <v>10090</v>
      </c>
      <c r="F8" s="158">
        <v>6000</v>
      </c>
      <c r="G8" s="158">
        <f t="shared" si="0"/>
        <v>6000</v>
      </c>
      <c r="H8" s="158">
        <f t="shared" si="1"/>
        <v>6000</v>
      </c>
      <c r="I8" s="158">
        <f t="shared" si="2"/>
        <v>6000</v>
      </c>
      <c r="J8" s="158">
        <f t="shared" si="3"/>
        <v>6600.0000000000009</v>
      </c>
      <c r="K8" s="158">
        <f t="shared" si="4"/>
        <v>6600.0000000000009</v>
      </c>
      <c r="L8" s="158">
        <f t="shared" si="4"/>
        <v>6600.0000000000009</v>
      </c>
      <c r="M8" s="158">
        <f t="shared" si="5"/>
        <v>6600.0000000000009</v>
      </c>
      <c r="N8" s="1214">
        <f t="shared" si="6"/>
        <v>6600.0000000000009</v>
      </c>
      <c r="O8" s="1149"/>
    </row>
    <row r="9" spans="1:15" ht="23.25">
      <c r="A9" s="437">
        <v>6</v>
      </c>
      <c r="B9" s="152" t="s">
        <v>1360</v>
      </c>
      <c r="C9" s="152" t="s">
        <v>1365</v>
      </c>
      <c r="D9" s="153" t="s">
        <v>733</v>
      </c>
      <c r="E9" s="158">
        <v>12450</v>
      </c>
      <c r="F9" s="158">
        <v>6500</v>
      </c>
      <c r="G9" s="158">
        <f t="shared" si="0"/>
        <v>6500</v>
      </c>
      <c r="H9" s="158">
        <f t="shared" si="1"/>
        <v>6500</v>
      </c>
      <c r="I9" s="158">
        <f t="shared" si="2"/>
        <v>6500</v>
      </c>
      <c r="J9" s="158">
        <f t="shared" si="3"/>
        <v>7150.0000000000009</v>
      </c>
      <c r="K9" s="158">
        <f t="shared" si="4"/>
        <v>7150.0000000000009</v>
      </c>
      <c r="L9" s="158">
        <f t="shared" si="4"/>
        <v>7150.0000000000009</v>
      </c>
      <c r="M9" s="158">
        <f t="shared" si="5"/>
        <v>7150.0000000000009</v>
      </c>
      <c r="N9" s="1214">
        <f t="shared" si="6"/>
        <v>7150.0000000000009</v>
      </c>
      <c r="O9" s="1149"/>
    </row>
    <row r="10" spans="1:15" ht="23.25">
      <c r="A10" s="437">
        <v>7</v>
      </c>
      <c r="B10" s="152" t="s">
        <v>1360</v>
      </c>
      <c r="C10" s="152" t="s">
        <v>1366</v>
      </c>
      <c r="D10" s="153" t="s">
        <v>733</v>
      </c>
      <c r="E10" s="158">
        <v>18880</v>
      </c>
      <c r="F10" s="158">
        <v>9750</v>
      </c>
      <c r="G10" s="158">
        <f t="shared" si="0"/>
        <v>9750</v>
      </c>
      <c r="H10" s="158">
        <f t="shared" si="1"/>
        <v>9750</v>
      </c>
      <c r="I10" s="158">
        <f t="shared" si="2"/>
        <v>9750</v>
      </c>
      <c r="J10" s="158">
        <f t="shared" si="3"/>
        <v>10725</v>
      </c>
      <c r="K10" s="158">
        <f t="shared" si="4"/>
        <v>10725</v>
      </c>
      <c r="L10" s="158">
        <f t="shared" si="4"/>
        <v>10725</v>
      </c>
      <c r="M10" s="158">
        <f t="shared" si="5"/>
        <v>10725</v>
      </c>
      <c r="N10" s="1214">
        <f t="shared" si="6"/>
        <v>10725</v>
      </c>
      <c r="O10" s="1149"/>
    </row>
    <row r="11" spans="1:15" ht="23.25">
      <c r="A11" s="437">
        <v>8</v>
      </c>
      <c r="B11" s="152" t="s">
        <v>1360</v>
      </c>
      <c r="C11" s="152" t="s">
        <v>1367</v>
      </c>
      <c r="D11" s="153" t="s">
        <v>733</v>
      </c>
      <c r="E11" s="158">
        <v>26430</v>
      </c>
      <c r="F11" s="158">
        <v>12600</v>
      </c>
      <c r="G11" s="158">
        <f t="shared" si="0"/>
        <v>12600</v>
      </c>
      <c r="H11" s="158">
        <f t="shared" si="1"/>
        <v>12600</v>
      </c>
      <c r="I11" s="158">
        <f t="shared" si="2"/>
        <v>12600</v>
      </c>
      <c r="J11" s="158">
        <f t="shared" si="3"/>
        <v>13860.000000000002</v>
      </c>
      <c r="K11" s="158">
        <f t="shared" si="4"/>
        <v>13860.000000000002</v>
      </c>
      <c r="L11" s="158">
        <f t="shared" si="4"/>
        <v>13860.000000000002</v>
      </c>
      <c r="M11" s="158">
        <f t="shared" si="5"/>
        <v>13860.000000000002</v>
      </c>
      <c r="N11" s="1214">
        <f t="shared" si="6"/>
        <v>13860.000000000002</v>
      </c>
      <c r="O11" s="1149"/>
    </row>
    <row r="12" spans="1:15" ht="15.75">
      <c r="A12" s="1166"/>
      <c r="B12" s="152"/>
      <c r="C12" s="152"/>
      <c r="D12" s="14"/>
      <c r="E12" s="158"/>
      <c r="F12" s="158"/>
      <c r="G12" s="158"/>
      <c r="H12" s="158"/>
      <c r="I12" s="158"/>
      <c r="J12" s="158"/>
      <c r="K12" s="158"/>
      <c r="L12" s="158"/>
      <c r="M12" s="158"/>
      <c r="N12" s="1214"/>
      <c r="O12" s="1149"/>
    </row>
    <row r="13" spans="1:15" ht="16.5">
      <c r="A13" s="1167" t="s">
        <v>1328</v>
      </c>
      <c r="B13" s="614" t="s">
        <v>1368</v>
      </c>
      <c r="C13" s="645"/>
      <c r="D13" s="646"/>
      <c r="E13" s="647"/>
      <c r="F13" s="647"/>
      <c r="G13" s="647"/>
      <c r="H13" s="647"/>
      <c r="I13" s="647"/>
      <c r="J13" s="647"/>
      <c r="K13" s="647"/>
      <c r="L13" s="647"/>
      <c r="M13" s="647"/>
      <c r="N13" s="1215"/>
      <c r="O13" s="1147"/>
    </row>
    <row r="14" spans="1:15" ht="23.25">
      <c r="A14" s="437">
        <v>1</v>
      </c>
      <c r="B14" s="152" t="s">
        <v>1369</v>
      </c>
      <c r="C14" s="152" t="s">
        <v>1370</v>
      </c>
      <c r="D14" s="153" t="s">
        <v>733</v>
      </c>
      <c r="E14" s="158">
        <v>6999</v>
      </c>
      <c r="F14" s="158">
        <v>4650</v>
      </c>
      <c r="G14" s="158">
        <f>F14</f>
        <v>4650</v>
      </c>
      <c r="H14" s="158">
        <f>G14</f>
        <v>4650</v>
      </c>
      <c r="I14" s="158">
        <f>H14</f>
        <v>4650</v>
      </c>
      <c r="J14" s="158">
        <f t="shared" si="3"/>
        <v>5115</v>
      </c>
      <c r="K14" s="158">
        <f t="shared" si="4"/>
        <v>5115</v>
      </c>
      <c r="L14" s="158">
        <f t="shared" si="4"/>
        <v>5115</v>
      </c>
      <c r="M14" s="158">
        <f t="shared" si="5"/>
        <v>5115</v>
      </c>
      <c r="N14" s="1214">
        <f t="shared" si="5"/>
        <v>5115</v>
      </c>
      <c r="O14" s="1149"/>
    </row>
    <row r="15" spans="1:15" ht="23.25">
      <c r="A15" s="437">
        <v>2</v>
      </c>
      <c r="B15" s="152" t="s">
        <v>1369</v>
      </c>
      <c r="C15" s="152" t="s">
        <v>1371</v>
      </c>
      <c r="D15" s="153" t="s">
        <v>733</v>
      </c>
      <c r="E15" s="158">
        <v>10699</v>
      </c>
      <c r="F15" s="158">
        <v>7800</v>
      </c>
      <c r="G15" s="158">
        <f t="shared" ref="G15:G21" si="7">F15</f>
        <v>7800</v>
      </c>
      <c r="H15" s="158">
        <f t="shared" ref="H15:H21" si="8">G15</f>
        <v>7800</v>
      </c>
      <c r="I15" s="158">
        <f t="shared" ref="I15:I21" si="9">H15</f>
        <v>7800</v>
      </c>
      <c r="J15" s="158">
        <f t="shared" si="3"/>
        <v>8580</v>
      </c>
      <c r="K15" s="158">
        <f t="shared" si="4"/>
        <v>8580</v>
      </c>
      <c r="L15" s="158">
        <f t="shared" si="4"/>
        <v>8580</v>
      </c>
      <c r="M15" s="158">
        <f t="shared" si="5"/>
        <v>8580</v>
      </c>
      <c r="N15" s="1214">
        <f t="shared" si="5"/>
        <v>8580</v>
      </c>
      <c r="O15" s="1149"/>
    </row>
    <row r="16" spans="1:15" ht="23.25">
      <c r="A16" s="437">
        <v>3</v>
      </c>
      <c r="B16" s="152" t="s">
        <v>1369</v>
      </c>
      <c r="C16" s="152" t="s">
        <v>1372</v>
      </c>
      <c r="D16" s="153" t="s">
        <v>733</v>
      </c>
      <c r="E16" s="158">
        <v>12299</v>
      </c>
      <c r="F16" s="158">
        <v>8500</v>
      </c>
      <c r="G16" s="158">
        <f t="shared" si="7"/>
        <v>8500</v>
      </c>
      <c r="H16" s="158">
        <f t="shared" si="8"/>
        <v>8500</v>
      </c>
      <c r="I16" s="158">
        <f t="shared" si="9"/>
        <v>8500</v>
      </c>
      <c r="J16" s="158">
        <f t="shared" si="3"/>
        <v>9350</v>
      </c>
      <c r="K16" s="158">
        <f t="shared" si="4"/>
        <v>9350</v>
      </c>
      <c r="L16" s="158">
        <f t="shared" si="4"/>
        <v>9350</v>
      </c>
      <c r="M16" s="158">
        <f t="shared" si="5"/>
        <v>9350</v>
      </c>
      <c r="N16" s="1214">
        <f t="shared" si="5"/>
        <v>9350</v>
      </c>
      <c r="O16" s="1149"/>
    </row>
    <row r="17" spans="1:15" ht="23.25">
      <c r="A17" s="437">
        <v>4</v>
      </c>
      <c r="B17" s="152" t="s">
        <v>1369</v>
      </c>
      <c r="C17" s="152" t="s">
        <v>1373</v>
      </c>
      <c r="D17" s="153" t="s">
        <v>733</v>
      </c>
      <c r="E17" s="158">
        <v>15999</v>
      </c>
      <c r="F17" s="158">
        <v>11500</v>
      </c>
      <c r="G17" s="158">
        <f t="shared" si="7"/>
        <v>11500</v>
      </c>
      <c r="H17" s="158">
        <f t="shared" si="8"/>
        <v>11500</v>
      </c>
      <c r="I17" s="158">
        <f t="shared" si="9"/>
        <v>11500</v>
      </c>
      <c r="J17" s="158">
        <f t="shared" si="3"/>
        <v>12650.000000000002</v>
      </c>
      <c r="K17" s="158">
        <f t="shared" si="4"/>
        <v>12650.000000000002</v>
      </c>
      <c r="L17" s="158">
        <f t="shared" si="4"/>
        <v>12650.000000000002</v>
      </c>
      <c r="M17" s="158">
        <f t="shared" si="5"/>
        <v>12650.000000000002</v>
      </c>
      <c r="N17" s="1214">
        <f t="shared" si="5"/>
        <v>12650.000000000002</v>
      </c>
      <c r="O17" s="1149"/>
    </row>
    <row r="18" spans="1:15" ht="23.25">
      <c r="A18" s="437">
        <v>5</v>
      </c>
      <c r="B18" s="152" t="s">
        <v>1369</v>
      </c>
      <c r="C18" s="152" t="s">
        <v>1374</v>
      </c>
      <c r="D18" s="153" t="s">
        <v>733</v>
      </c>
      <c r="E18" s="158">
        <v>19299</v>
      </c>
      <c r="F18" s="158">
        <v>14500</v>
      </c>
      <c r="G18" s="158">
        <f t="shared" si="7"/>
        <v>14500</v>
      </c>
      <c r="H18" s="158">
        <f t="shared" si="8"/>
        <v>14500</v>
      </c>
      <c r="I18" s="158">
        <f t="shared" si="9"/>
        <v>14500</v>
      </c>
      <c r="J18" s="158">
        <f t="shared" si="3"/>
        <v>15950.000000000002</v>
      </c>
      <c r="K18" s="158">
        <f t="shared" si="4"/>
        <v>15950.000000000002</v>
      </c>
      <c r="L18" s="158">
        <f t="shared" si="4"/>
        <v>15950.000000000002</v>
      </c>
      <c r="M18" s="158">
        <f t="shared" si="5"/>
        <v>15950.000000000002</v>
      </c>
      <c r="N18" s="1214">
        <f t="shared" si="5"/>
        <v>15950.000000000002</v>
      </c>
      <c r="O18" s="1149"/>
    </row>
    <row r="19" spans="1:15" ht="23.25">
      <c r="A19" s="437">
        <v>6</v>
      </c>
      <c r="B19" s="152" t="s">
        <v>1369</v>
      </c>
      <c r="C19" s="152" t="s">
        <v>1375</v>
      </c>
      <c r="D19" s="153" t="s">
        <v>733</v>
      </c>
      <c r="E19" s="158">
        <v>25699</v>
      </c>
      <c r="F19" s="158">
        <v>16500</v>
      </c>
      <c r="G19" s="158">
        <f t="shared" si="7"/>
        <v>16500</v>
      </c>
      <c r="H19" s="158">
        <f t="shared" si="8"/>
        <v>16500</v>
      </c>
      <c r="I19" s="158">
        <f t="shared" si="9"/>
        <v>16500</v>
      </c>
      <c r="J19" s="158">
        <f t="shared" si="3"/>
        <v>18150</v>
      </c>
      <c r="K19" s="158">
        <f t="shared" si="4"/>
        <v>18150</v>
      </c>
      <c r="L19" s="158">
        <f t="shared" si="4"/>
        <v>18150</v>
      </c>
      <c r="M19" s="158">
        <f t="shared" si="5"/>
        <v>18150</v>
      </c>
      <c r="N19" s="1214">
        <f t="shared" si="5"/>
        <v>18150</v>
      </c>
      <c r="O19" s="1149"/>
    </row>
    <row r="20" spans="1:15" ht="23.25">
      <c r="A20" s="437">
        <v>7</v>
      </c>
      <c r="B20" s="152" t="s">
        <v>1369</v>
      </c>
      <c r="C20" s="152" t="s">
        <v>1376</v>
      </c>
      <c r="D20" s="153" t="s">
        <v>733</v>
      </c>
      <c r="E20" s="158">
        <v>36399</v>
      </c>
      <c r="F20" s="158">
        <v>26500</v>
      </c>
      <c r="G20" s="158">
        <f t="shared" si="7"/>
        <v>26500</v>
      </c>
      <c r="H20" s="158">
        <f t="shared" si="8"/>
        <v>26500</v>
      </c>
      <c r="I20" s="158">
        <f t="shared" si="9"/>
        <v>26500</v>
      </c>
      <c r="J20" s="158">
        <f t="shared" si="3"/>
        <v>29150.000000000004</v>
      </c>
      <c r="K20" s="158">
        <f t="shared" si="4"/>
        <v>29150.000000000004</v>
      </c>
      <c r="L20" s="158">
        <f t="shared" si="4"/>
        <v>29150.000000000004</v>
      </c>
      <c r="M20" s="158">
        <f t="shared" si="5"/>
        <v>29150.000000000004</v>
      </c>
      <c r="N20" s="1214">
        <f t="shared" si="5"/>
        <v>29150.000000000004</v>
      </c>
      <c r="O20" s="1149"/>
    </row>
    <row r="21" spans="1:15" ht="23.25">
      <c r="A21" s="437">
        <v>8</v>
      </c>
      <c r="B21" s="152" t="s">
        <v>1369</v>
      </c>
      <c r="C21" s="152" t="s">
        <v>1377</v>
      </c>
      <c r="D21" s="153" t="s">
        <v>733</v>
      </c>
      <c r="E21" s="158">
        <v>45699</v>
      </c>
      <c r="F21" s="158">
        <v>31500</v>
      </c>
      <c r="G21" s="158">
        <f t="shared" si="7"/>
        <v>31500</v>
      </c>
      <c r="H21" s="158">
        <f t="shared" si="8"/>
        <v>31500</v>
      </c>
      <c r="I21" s="158">
        <f t="shared" si="9"/>
        <v>31500</v>
      </c>
      <c r="J21" s="158">
        <f t="shared" si="3"/>
        <v>34650</v>
      </c>
      <c r="K21" s="158">
        <f t="shared" si="4"/>
        <v>34650</v>
      </c>
      <c r="L21" s="158">
        <f t="shared" si="4"/>
        <v>34650</v>
      </c>
      <c r="M21" s="158">
        <f t="shared" si="5"/>
        <v>34650</v>
      </c>
      <c r="N21" s="1214">
        <f t="shared" si="5"/>
        <v>34650</v>
      </c>
      <c r="O21" s="1149"/>
    </row>
    <row r="22" spans="1:15" ht="15.75">
      <c r="A22" s="1166"/>
      <c r="B22" s="152"/>
      <c r="C22" s="152"/>
      <c r="D22" s="119"/>
      <c r="E22" s="158"/>
      <c r="F22" s="158"/>
      <c r="G22" s="158"/>
      <c r="H22" s="158"/>
      <c r="I22" s="158"/>
      <c r="J22" s="158"/>
      <c r="K22" s="158"/>
      <c r="L22" s="158"/>
      <c r="M22" s="158"/>
      <c r="N22" s="1214"/>
      <c r="O22" s="1149"/>
    </row>
    <row r="23" spans="1:15" ht="30">
      <c r="A23" s="1168" t="s">
        <v>1331</v>
      </c>
      <c r="B23" s="643" t="s">
        <v>1378</v>
      </c>
      <c r="C23" s="648"/>
      <c r="D23" s="646"/>
      <c r="E23" s="647"/>
      <c r="F23" s="647"/>
      <c r="G23" s="647"/>
      <c r="H23" s="647"/>
      <c r="I23" s="647"/>
      <c r="J23" s="647"/>
      <c r="K23" s="647"/>
      <c r="L23" s="647"/>
      <c r="M23" s="647"/>
      <c r="N23" s="1215"/>
      <c r="O23" s="1147"/>
    </row>
    <row r="24" spans="1:15" ht="23.25">
      <c r="A24" s="437">
        <v>1</v>
      </c>
      <c r="B24" s="152" t="s">
        <v>1379</v>
      </c>
      <c r="C24" s="152" t="s">
        <v>1380</v>
      </c>
      <c r="D24" s="153" t="s">
        <v>733</v>
      </c>
      <c r="E24" s="158">
        <v>1000</v>
      </c>
      <c r="F24" s="158">
        <v>300</v>
      </c>
      <c r="G24" s="158">
        <f>F24</f>
        <v>300</v>
      </c>
      <c r="H24" s="158">
        <f>G24</f>
        <v>300</v>
      </c>
      <c r="I24" s="158">
        <f>H24</f>
        <v>300</v>
      </c>
      <c r="J24" s="158">
        <f t="shared" si="3"/>
        <v>330</v>
      </c>
      <c r="K24" s="158">
        <f t="shared" si="4"/>
        <v>330</v>
      </c>
      <c r="L24" s="158">
        <f t="shared" si="4"/>
        <v>330</v>
      </c>
      <c r="M24" s="158">
        <f t="shared" si="5"/>
        <v>330</v>
      </c>
      <c r="N24" s="1214">
        <f t="shared" si="5"/>
        <v>330</v>
      </c>
      <c r="O24" s="1149"/>
    </row>
    <row r="25" spans="1:15" ht="23.25">
      <c r="A25" s="437">
        <v>2</v>
      </c>
      <c r="B25" s="152" t="s">
        <v>1381</v>
      </c>
      <c r="C25" s="152" t="s">
        <v>1382</v>
      </c>
      <c r="D25" s="153" t="s">
        <v>733</v>
      </c>
      <c r="E25" s="158">
        <v>1700</v>
      </c>
      <c r="F25" s="158">
        <v>650</v>
      </c>
      <c r="G25" s="158">
        <f t="shared" ref="G25:G26" si="10">F25</f>
        <v>650</v>
      </c>
      <c r="H25" s="158">
        <f t="shared" ref="H25:H26" si="11">G25</f>
        <v>650</v>
      </c>
      <c r="I25" s="158">
        <f t="shared" ref="I25:I26" si="12">H25</f>
        <v>650</v>
      </c>
      <c r="J25" s="158">
        <f t="shared" si="3"/>
        <v>715.00000000000011</v>
      </c>
      <c r="K25" s="158">
        <f t="shared" si="4"/>
        <v>715.00000000000011</v>
      </c>
      <c r="L25" s="158">
        <f t="shared" si="4"/>
        <v>715.00000000000011</v>
      </c>
      <c r="M25" s="158">
        <f t="shared" si="5"/>
        <v>715.00000000000011</v>
      </c>
      <c r="N25" s="1214">
        <f t="shared" si="5"/>
        <v>715.00000000000011</v>
      </c>
      <c r="O25" s="1149"/>
    </row>
    <row r="26" spans="1:15" ht="24" thickBot="1">
      <c r="A26" s="1169">
        <v>3</v>
      </c>
      <c r="B26" s="1170" t="s">
        <v>1381</v>
      </c>
      <c r="C26" s="1170" t="s">
        <v>1383</v>
      </c>
      <c r="D26" s="1171" t="s">
        <v>733</v>
      </c>
      <c r="E26" s="1172">
        <v>2620</v>
      </c>
      <c r="F26" s="1172">
        <v>1200</v>
      </c>
      <c r="G26" s="1172">
        <f t="shared" si="10"/>
        <v>1200</v>
      </c>
      <c r="H26" s="1172">
        <f t="shared" si="11"/>
        <v>1200</v>
      </c>
      <c r="I26" s="1172">
        <f t="shared" si="12"/>
        <v>1200</v>
      </c>
      <c r="J26" s="1172">
        <f t="shared" si="3"/>
        <v>1320</v>
      </c>
      <c r="K26" s="1172">
        <f t="shared" si="4"/>
        <v>1320</v>
      </c>
      <c r="L26" s="1172">
        <f t="shared" si="4"/>
        <v>1320</v>
      </c>
      <c r="M26" s="1172">
        <f t="shared" si="5"/>
        <v>1320</v>
      </c>
      <c r="N26" s="1214">
        <f t="shared" si="5"/>
        <v>1320</v>
      </c>
      <c r="O26" s="1157"/>
    </row>
    <row r="27" spans="1:15">
      <c r="B27" s="154"/>
    </row>
    <row r="28" spans="1:15">
      <c r="B28" s="154"/>
    </row>
    <row r="29" spans="1:15">
      <c r="B29" s="154"/>
    </row>
    <row r="30" spans="1:15">
      <c r="B30" s="154"/>
    </row>
    <row r="31" spans="1:15">
      <c r="B31" s="154"/>
    </row>
  </sheetData>
  <mergeCells count="1">
    <mergeCell ref="A1:O1"/>
  </mergeCells>
  <phoneticPr fontId="105" type="noConversion"/>
  <printOptions horizontalCentered="1"/>
  <pageMargins left="1.24" right="0.19" top="1.03" bottom="0.73" header="0.5" footer="0.56999999999999995"/>
  <pageSetup paperSize="9" scale="81"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pageSetUpPr fitToPage="1"/>
  </sheetPr>
  <dimension ref="A1:X196"/>
  <sheetViews>
    <sheetView tabSelected="1" view="pageLayout" topLeftCell="A134" zoomScaleNormal="100" zoomScaleSheetLayoutView="85" workbookViewId="0">
      <selection activeCell="D24" sqref="D24"/>
    </sheetView>
  </sheetViews>
  <sheetFormatPr defaultRowHeight="15"/>
  <cols>
    <col min="1" max="1" width="6.28515625" customWidth="1"/>
    <col min="2" max="2" width="49.28515625" customWidth="1"/>
    <col min="3" max="3" width="11.7109375" hidden="1" customWidth="1"/>
    <col min="4" max="4" width="13" hidden="1" customWidth="1"/>
    <col min="5" max="5" width="14.28515625" hidden="1" customWidth="1"/>
    <col min="6" max="6" width="12.7109375" hidden="1" customWidth="1"/>
    <col min="7" max="7" width="9.85546875" hidden="1" customWidth="1"/>
    <col min="8" max="8" width="11.5703125" hidden="1" customWidth="1"/>
    <col min="9" max="9" width="10.85546875" customWidth="1"/>
    <col min="10" max="10" width="12.7109375" customWidth="1"/>
    <col min="11" max="11" width="10.28515625" customWidth="1"/>
    <col min="12" max="14" width="13.7109375" customWidth="1"/>
    <col min="15" max="15" width="9.42578125" customWidth="1"/>
    <col min="16" max="16" width="12" customWidth="1"/>
    <col min="17" max="17" width="13.7109375" customWidth="1"/>
    <col min="18" max="18" width="12.7109375" customWidth="1"/>
    <col min="19" max="19" width="12" customWidth="1"/>
    <col min="20" max="20" width="9.28515625" customWidth="1"/>
    <col min="21" max="21" width="10.7109375" customWidth="1"/>
    <col min="24" max="24" width="13.28515625" customWidth="1"/>
  </cols>
  <sheetData>
    <row r="1" spans="1:23" ht="29.25" thickBot="1">
      <c r="A1" s="1709" t="s">
        <v>2252</v>
      </c>
      <c r="B1" s="1709"/>
      <c r="C1" s="1709"/>
      <c r="D1" s="1709"/>
      <c r="E1" s="1709"/>
      <c r="F1" s="1709"/>
      <c r="G1" s="1709"/>
      <c r="H1" s="1709"/>
      <c r="I1" s="1709"/>
      <c r="J1" s="1709"/>
      <c r="K1" s="1709"/>
      <c r="L1" s="1709"/>
      <c r="M1" s="990"/>
      <c r="N1" s="990"/>
      <c r="O1" s="990"/>
      <c r="P1" s="990"/>
    </row>
    <row r="2" spans="1:23" ht="40.9" customHeight="1">
      <c r="A2" s="1002" t="s">
        <v>1876</v>
      </c>
      <c r="B2" s="1003" t="s">
        <v>2188</v>
      </c>
      <c r="C2" s="1004"/>
      <c r="D2" s="1004"/>
      <c r="E2" s="1708" t="s">
        <v>2195</v>
      </c>
      <c r="F2" s="1708"/>
      <c r="G2" s="1708" t="s">
        <v>2190</v>
      </c>
      <c r="H2" s="1708"/>
      <c r="I2" s="1708" t="s">
        <v>2191</v>
      </c>
      <c r="J2" s="1708"/>
      <c r="K2" s="1708" t="s">
        <v>2192</v>
      </c>
      <c r="L2" s="1708"/>
      <c r="M2" s="1708" t="s">
        <v>2543</v>
      </c>
      <c r="N2" s="1708"/>
      <c r="O2" s="1016" t="s">
        <v>2023</v>
      </c>
      <c r="P2" s="1000"/>
      <c r="Q2" s="181"/>
      <c r="R2" s="181"/>
      <c r="S2" s="181"/>
      <c r="T2" s="181"/>
      <c r="U2" s="181"/>
    </row>
    <row r="3" spans="1:23" ht="58.5">
      <c r="A3" s="991"/>
      <c r="B3" s="1001" t="s">
        <v>2472</v>
      </c>
      <c r="C3" s="712" t="s">
        <v>1435</v>
      </c>
      <c r="D3" s="712" t="s">
        <v>1436</v>
      </c>
      <c r="E3" s="753" t="s">
        <v>1932</v>
      </c>
      <c r="F3" s="753" t="s">
        <v>1933</v>
      </c>
      <c r="G3" s="753" t="s">
        <v>1932</v>
      </c>
      <c r="H3" s="753" t="s">
        <v>1933</v>
      </c>
      <c r="I3" s="753" t="s">
        <v>1932</v>
      </c>
      <c r="J3" s="753" t="s">
        <v>1933</v>
      </c>
      <c r="K3" s="753" t="s">
        <v>1932</v>
      </c>
      <c r="L3" s="753" t="s">
        <v>1933</v>
      </c>
      <c r="M3" s="753" t="s">
        <v>1932</v>
      </c>
      <c r="N3" s="753" t="s">
        <v>1933</v>
      </c>
      <c r="O3" s="1178"/>
      <c r="P3" s="1173" t="s">
        <v>2828</v>
      </c>
      <c r="Q3" s="1006" t="s">
        <v>2322</v>
      </c>
      <c r="R3" s="1006" t="s">
        <v>2468</v>
      </c>
      <c r="S3" s="188"/>
      <c r="T3" s="1006" t="s">
        <v>2471</v>
      </c>
      <c r="U3" s="1006" t="s">
        <v>1874</v>
      </c>
      <c r="V3" s="1015" t="s">
        <v>1986</v>
      </c>
    </row>
    <row r="4" spans="1:23" ht="63">
      <c r="A4" s="992">
        <v>1</v>
      </c>
      <c r="B4" s="874" t="s">
        <v>2451</v>
      </c>
      <c r="C4" s="287">
        <v>17.649999999999999</v>
      </c>
      <c r="D4" s="288">
        <v>9966.4</v>
      </c>
      <c r="E4" s="713">
        <f>C4*1.1</f>
        <v>19.414999999999999</v>
      </c>
      <c r="F4" s="714">
        <f>D4*1.1</f>
        <v>10963.04</v>
      </c>
      <c r="G4" s="713">
        <v>19.420000000000002</v>
      </c>
      <c r="H4" s="714">
        <v>10963.04</v>
      </c>
      <c r="I4" s="713">
        <f>G4</f>
        <v>19.420000000000002</v>
      </c>
      <c r="J4" s="714">
        <f>H4</f>
        <v>10963.04</v>
      </c>
      <c r="K4" s="713">
        <v>19.420000000000002</v>
      </c>
      <c r="L4" s="713">
        <v>10963.04</v>
      </c>
      <c r="M4" s="1273">
        <f>K4</f>
        <v>19.420000000000002</v>
      </c>
      <c r="N4" s="1273">
        <f>TRUNC(M4*V4,2)</f>
        <v>10963.04</v>
      </c>
      <c r="O4" s="1179"/>
      <c r="P4" s="1174"/>
      <c r="Q4" s="713">
        <v>19</v>
      </c>
      <c r="R4" s="713">
        <v>26.07</v>
      </c>
      <c r="S4" s="1010"/>
      <c r="T4" s="721">
        <f>AVERAGE(Q4:S4)</f>
        <v>22.535</v>
      </c>
      <c r="U4" s="1008">
        <f>(T4-K4)/K4</f>
        <v>0.16040164778578775</v>
      </c>
      <c r="V4" s="1014">
        <f>J4/I4</f>
        <v>564.5231719876416</v>
      </c>
    </row>
    <row r="5" spans="1:23" ht="63">
      <c r="A5" s="992">
        <f>A4+1</f>
        <v>2</v>
      </c>
      <c r="B5" s="874" t="s">
        <v>2452</v>
      </c>
      <c r="C5" s="287">
        <v>19.510000000000002</v>
      </c>
      <c r="D5" s="288">
        <v>11015.81</v>
      </c>
      <c r="E5" s="713">
        <f t="shared" ref="E5:E98" si="0">C5*1.1</f>
        <v>21.461000000000002</v>
      </c>
      <c r="F5" s="714">
        <f t="shared" ref="F5:F7" si="1">D5*1.1</f>
        <v>12117.391</v>
      </c>
      <c r="G5" s="713">
        <v>21.46</v>
      </c>
      <c r="H5" s="714">
        <v>12117.39</v>
      </c>
      <c r="I5" s="713">
        <f t="shared" ref="I5:I7" si="2">G5</f>
        <v>21.46</v>
      </c>
      <c r="J5" s="714">
        <f t="shared" ref="J5:J7" si="3">H5</f>
        <v>12117.39</v>
      </c>
      <c r="K5" s="713">
        <v>21.46</v>
      </c>
      <c r="L5" s="713">
        <v>12117.39</v>
      </c>
      <c r="M5" s="1273">
        <f t="shared" ref="M5:M7" si="4">K5</f>
        <v>21.46</v>
      </c>
      <c r="N5" s="1273">
        <f t="shared" ref="N5:N6" si="5">TRUNC(M5*V5,2)</f>
        <v>12117.39</v>
      </c>
      <c r="O5" s="1179"/>
      <c r="P5" s="1174"/>
      <c r="Q5" s="713">
        <v>21</v>
      </c>
      <c r="R5" s="713">
        <v>32.67</v>
      </c>
      <c r="S5" s="188"/>
      <c r="T5" s="721">
        <f>AVERAGE(Q5:S5)</f>
        <v>26.835000000000001</v>
      </c>
      <c r="U5" s="1008">
        <f>(T5-K5)/K5</f>
        <v>0.25046598322460389</v>
      </c>
      <c r="V5" s="1014">
        <f>J5/I5</f>
        <v>564.65004659832243</v>
      </c>
    </row>
    <row r="6" spans="1:23" ht="63">
      <c r="A6" s="992">
        <f t="shared" ref="A6:A7" si="6">A5+1</f>
        <v>3</v>
      </c>
      <c r="B6" s="874" t="s">
        <v>2453</v>
      </c>
      <c r="C6" s="287">
        <v>15.8</v>
      </c>
      <c r="D6" s="288">
        <v>11356.45</v>
      </c>
      <c r="E6" s="713">
        <f t="shared" si="0"/>
        <v>17.380000000000003</v>
      </c>
      <c r="F6" s="714">
        <f t="shared" si="1"/>
        <v>12492.095000000001</v>
      </c>
      <c r="G6" s="713">
        <v>17.38</v>
      </c>
      <c r="H6" s="714">
        <v>12492.1</v>
      </c>
      <c r="I6" s="713">
        <f t="shared" si="2"/>
        <v>17.38</v>
      </c>
      <c r="J6" s="714">
        <f t="shared" si="3"/>
        <v>12492.1</v>
      </c>
      <c r="K6" s="713">
        <v>17.38</v>
      </c>
      <c r="L6" s="713">
        <v>12492.1</v>
      </c>
      <c r="M6" s="1273">
        <f t="shared" si="4"/>
        <v>17.38</v>
      </c>
      <c r="N6" s="1273">
        <f t="shared" si="5"/>
        <v>12492.1</v>
      </c>
      <c r="O6" s="1179"/>
      <c r="P6" s="1174"/>
      <c r="Q6" s="713">
        <v>17</v>
      </c>
      <c r="R6" s="713">
        <v>22.52</v>
      </c>
      <c r="S6" s="188"/>
      <c r="T6" s="721">
        <f>AVERAGE(Q6:S6)</f>
        <v>19.759999999999998</v>
      </c>
      <c r="U6" s="1008">
        <f>(T6-K6)/K6</f>
        <v>0.13693901035673184</v>
      </c>
      <c r="V6" s="1014">
        <f>J6/I6</f>
        <v>718.76294591484475</v>
      </c>
    </row>
    <row r="7" spans="1:23" ht="63">
      <c r="A7" s="992">
        <f t="shared" si="6"/>
        <v>4</v>
      </c>
      <c r="B7" s="874" t="s">
        <v>2454</v>
      </c>
      <c r="C7" s="287">
        <v>16.73</v>
      </c>
      <c r="D7" s="288">
        <v>12020.48</v>
      </c>
      <c r="E7" s="713">
        <f t="shared" si="0"/>
        <v>18.403000000000002</v>
      </c>
      <c r="F7" s="714">
        <f t="shared" si="1"/>
        <v>13222.528</v>
      </c>
      <c r="G7" s="713">
        <v>18.04</v>
      </c>
      <c r="H7" s="714">
        <v>13222.53</v>
      </c>
      <c r="I7" s="713">
        <f t="shared" si="2"/>
        <v>18.04</v>
      </c>
      <c r="J7" s="714">
        <f t="shared" si="3"/>
        <v>13222.53</v>
      </c>
      <c r="K7" s="713">
        <v>18.04</v>
      </c>
      <c r="L7" s="713">
        <v>13222.53</v>
      </c>
      <c r="M7" s="1273">
        <f t="shared" si="4"/>
        <v>18.04</v>
      </c>
      <c r="N7" s="1273">
        <f>TRUNC(M7*V7,2)</f>
        <v>13222.53</v>
      </c>
      <c r="O7" s="1179"/>
      <c r="P7" s="1174"/>
      <c r="Q7" s="713">
        <v>18</v>
      </c>
      <c r="R7" s="713">
        <v>28.52</v>
      </c>
      <c r="S7" s="188"/>
      <c r="T7" s="721">
        <f>AVERAGE(Q7:S7)</f>
        <v>23.259999999999998</v>
      </c>
      <c r="U7" s="1008">
        <f>(T7-K7)/K7</f>
        <v>0.28935698447893565</v>
      </c>
      <c r="V7" s="1014">
        <f>J7/I7</f>
        <v>732.95620842572066</v>
      </c>
    </row>
    <row r="8" spans="1:23" ht="58.5">
      <c r="A8" s="993" t="s">
        <v>1876</v>
      </c>
      <c r="B8" s="715" t="s">
        <v>2188</v>
      </c>
      <c r="C8" s="716" t="s">
        <v>1437</v>
      </c>
      <c r="D8" s="716" t="s">
        <v>1438</v>
      </c>
      <c r="E8" s="715" t="s">
        <v>1932</v>
      </c>
      <c r="F8" s="715" t="s">
        <v>1934</v>
      </c>
      <c r="G8" s="715" t="s">
        <v>1932</v>
      </c>
      <c r="H8" s="715" t="s">
        <v>1934</v>
      </c>
      <c r="I8" s="715" t="s">
        <v>1932</v>
      </c>
      <c r="J8" s="715" t="s">
        <v>1934</v>
      </c>
      <c r="K8" s="715" t="s">
        <v>1932</v>
      </c>
      <c r="L8" s="715" t="s">
        <v>1934</v>
      </c>
      <c r="M8" s="715" t="s">
        <v>1932</v>
      </c>
      <c r="N8" s="715" t="s">
        <v>1934</v>
      </c>
      <c r="O8" s="1180"/>
      <c r="P8" s="1175"/>
      <c r="Q8" s="188"/>
      <c r="R8" s="188"/>
      <c r="S8" s="188"/>
      <c r="T8" s="721"/>
      <c r="U8" s="188"/>
    </row>
    <row r="9" spans="1:23" ht="25.5">
      <c r="A9" s="994"/>
      <c r="B9" s="768" t="s">
        <v>2232</v>
      </c>
      <c r="C9" s="760"/>
      <c r="D9" s="760"/>
      <c r="E9" s="770"/>
      <c r="F9" s="770"/>
      <c r="G9" s="770"/>
      <c r="H9" s="770"/>
      <c r="I9" s="770"/>
      <c r="J9" s="770"/>
      <c r="K9" s="770"/>
      <c r="L9" s="770"/>
      <c r="M9" s="1274"/>
      <c r="N9" s="1274"/>
      <c r="O9" s="1181"/>
      <c r="P9" s="1173" t="str">
        <f>P3</f>
        <v>10% add Rup</v>
      </c>
      <c r="Q9" s="1006" t="s">
        <v>2322</v>
      </c>
      <c r="R9" s="1006" t="s">
        <v>2468</v>
      </c>
      <c r="S9" s="188"/>
      <c r="T9" s="1006" t="s">
        <v>2471</v>
      </c>
      <c r="U9" s="188"/>
    </row>
    <row r="10" spans="1:23" ht="63">
      <c r="A10" s="992">
        <f>A7+1</f>
        <v>5</v>
      </c>
      <c r="B10" s="874" t="s">
        <v>2455</v>
      </c>
      <c r="C10" s="287">
        <v>115.5</v>
      </c>
      <c r="D10" s="288">
        <v>1558.7</v>
      </c>
      <c r="E10" s="719">
        <f t="shared" si="0"/>
        <v>127.05000000000001</v>
      </c>
      <c r="F10" s="720">
        <f>D10*1.1</f>
        <v>1714.5700000000002</v>
      </c>
      <c r="G10" s="721">
        <v>127.05000000000001</v>
      </c>
      <c r="H10" s="720">
        <v>1714.5700000000002</v>
      </c>
      <c r="I10" s="721">
        <f>G10</f>
        <v>127.05000000000001</v>
      </c>
      <c r="J10" s="720">
        <f>H10</f>
        <v>1714.5700000000002</v>
      </c>
      <c r="K10" s="721">
        <v>118.45050000000001</v>
      </c>
      <c r="L10" s="721">
        <v>1597.89</v>
      </c>
      <c r="M10" s="1560">
        <f>Q10</f>
        <v>125</v>
      </c>
      <c r="N10" s="1273">
        <f t="shared" ref="N10:N37" si="7">TRUNC(M10*V10,2)</f>
        <v>1686.9</v>
      </c>
      <c r="O10" s="1179"/>
      <c r="P10" s="1174"/>
      <c r="Q10" s="713">
        <v>125</v>
      </c>
      <c r="R10" s="713">
        <v>145</v>
      </c>
      <c r="S10" s="188"/>
      <c r="T10" s="721">
        <f t="shared" ref="T10:T15" si="8">AVERAGE(Q10:S10)</f>
        <v>135</v>
      </c>
      <c r="U10" s="1008">
        <f t="shared" ref="U10:U15" si="9">(T10-I10)/I10</f>
        <v>6.2573789846517028E-2</v>
      </c>
      <c r="V10">
        <f t="shared" ref="V10:V15" si="10">J10/I10</f>
        <v>13.495238095238095</v>
      </c>
      <c r="W10">
        <f>I10/$V$10</f>
        <v>9.4144318983768525</v>
      </c>
    </row>
    <row r="11" spans="1:23" ht="63">
      <c r="A11" s="992">
        <f>A10+1</f>
        <v>6</v>
      </c>
      <c r="B11" s="874" t="s">
        <v>2456</v>
      </c>
      <c r="C11" s="287">
        <v>136.5</v>
      </c>
      <c r="D11" s="288">
        <v>1842.11</v>
      </c>
      <c r="E11" s="719">
        <f t="shared" si="0"/>
        <v>150.15</v>
      </c>
      <c r="F11" s="720">
        <f t="shared" ref="F11:F106" si="11">D11*1.1</f>
        <v>2026.3210000000001</v>
      </c>
      <c r="G11" s="721">
        <v>150.15</v>
      </c>
      <c r="H11" s="721">
        <v>2026.32</v>
      </c>
      <c r="I11" s="721">
        <f t="shared" ref="I11:I15" si="12">G11</f>
        <v>150.15</v>
      </c>
      <c r="J11" s="720">
        <f t="shared" ref="J11:J15" si="13">H11</f>
        <v>2026.32</v>
      </c>
      <c r="K11" s="721">
        <v>143.38800000000001</v>
      </c>
      <c r="L11" s="721">
        <v>1934.3</v>
      </c>
      <c r="M11" s="1560">
        <f t="shared" ref="M11:M15" si="14">Q11</f>
        <v>151</v>
      </c>
      <c r="N11" s="1273">
        <f t="shared" si="7"/>
        <v>2037.79</v>
      </c>
      <c r="O11" s="1179"/>
      <c r="P11" s="1174"/>
      <c r="Q11" s="713">
        <v>151</v>
      </c>
      <c r="R11" s="713">
        <v>180.25</v>
      </c>
      <c r="S11" s="188"/>
      <c r="T11" s="721">
        <f t="shared" si="8"/>
        <v>165.625</v>
      </c>
      <c r="U11" s="1008">
        <f t="shared" si="9"/>
        <v>0.10306360306360302</v>
      </c>
      <c r="V11">
        <f t="shared" si="10"/>
        <v>13.495304695304695</v>
      </c>
      <c r="W11">
        <f>I11/$V$10</f>
        <v>11.126146788990827</v>
      </c>
    </row>
    <row r="12" spans="1:23" ht="63">
      <c r="A12" s="992">
        <f t="shared" ref="A12:A15" si="15">A11+1</f>
        <v>7</v>
      </c>
      <c r="B12" s="874" t="s">
        <v>2457</v>
      </c>
      <c r="C12" s="287">
        <v>92.4</v>
      </c>
      <c r="D12" s="288">
        <v>1246.96</v>
      </c>
      <c r="E12" s="719">
        <f t="shared" si="0"/>
        <v>101.64000000000001</v>
      </c>
      <c r="F12" s="720">
        <f t="shared" si="11"/>
        <v>1371.6560000000002</v>
      </c>
      <c r="G12" s="721">
        <v>101.64000000000001</v>
      </c>
      <c r="H12" s="721">
        <v>1371.66</v>
      </c>
      <c r="I12" s="721">
        <f t="shared" si="12"/>
        <v>101.64000000000001</v>
      </c>
      <c r="J12" s="720">
        <f t="shared" si="13"/>
        <v>1371.66</v>
      </c>
      <c r="K12" s="721">
        <v>93.513000000000005</v>
      </c>
      <c r="L12" s="721">
        <v>1261.49</v>
      </c>
      <c r="M12" s="1560">
        <f t="shared" si="14"/>
        <v>98</v>
      </c>
      <c r="N12" s="1273">
        <f t="shared" si="7"/>
        <v>1322.53</v>
      </c>
      <c r="O12" s="1179"/>
      <c r="P12" s="1174"/>
      <c r="Q12" s="713">
        <v>98</v>
      </c>
      <c r="R12" s="713">
        <v>120.15</v>
      </c>
      <c r="S12" s="188"/>
      <c r="T12" s="721">
        <f t="shared" si="8"/>
        <v>109.075</v>
      </c>
      <c r="U12" s="1008">
        <f t="shared" si="9"/>
        <v>7.3150334513970752E-2</v>
      </c>
      <c r="V12">
        <f t="shared" si="10"/>
        <v>13.495277449822904</v>
      </c>
    </row>
    <row r="13" spans="1:23" ht="63">
      <c r="A13" s="992">
        <f t="shared" si="15"/>
        <v>8</v>
      </c>
      <c r="B13" s="874" t="s">
        <v>2459</v>
      </c>
      <c r="C13" s="287">
        <v>110.25</v>
      </c>
      <c r="D13" s="288">
        <v>1487.85</v>
      </c>
      <c r="E13" s="719">
        <f t="shared" si="0"/>
        <v>121.27500000000001</v>
      </c>
      <c r="F13" s="720">
        <f t="shared" si="11"/>
        <v>1636.635</v>
      </c>
      <c r="G13" s="721">
        <v>121.28</v>
      </c>
      <c r="H13" s="721">
        <v>1636.64</v>
      </c>
      <c r="I13" s="721">
        <f t="shared" si="12"/>
        <v>121.28</v>
      </c>
      <c r="J13" s="720">
        <f t="shared" si="13"/>
        <v>1636.64</v>
      </c>
      <c r="K13" s="721">
        <v>112.224</v>
      </c>
      <c r="L13" s="721">
        <v>1513.9</v>
      </c>
      <c r="M13" s="1560">
        <f t="shared" si="14"/>
        <v>118</v>
      </c>
      <c r="N13" s="1273">
        <f t="shared" si="7"/>
        <v>1592.37</v>
      </c>
      <c r="O13" s="1179"/>
      <c r="P13" s="1174"/>
      <c r="Q13" s="713">
        <v>118</v>
      </c>
      <c r="R13" s="713">
        <v>147.15</v>
      </c>
      <c r="S13" s="188"/>
      <c r="T13" s="721">
        <f t="shared" si="8"/>
        <v>132.57499999999999</v>
      </c>
      <c r="U13" s="1008">
        <f t="shared" si="9"/>
        <v>9.3131596306068501E-2</v>
      </c>
      <c r="V13">
        <f t="shared" si="10"/>
        <v>13.49472295514512</v>
      </c>
    </row>
    <row r="14" spans="1:23" ht="63">
      <c r="A14" s="992">
        <f t="shared" si="15"/>
        <v>9</v>
      </c>
      <c r="B14" s="874" t="s">
        <v>2458</v>
      </c>
      <c r="C14" s="287">
        <v>80.849999999999994</v>
      </c>
      <c r="D14" s="288">
        <v>1091.0899999999999</v>
      </c>
      <c r="E14" s="719">
        <f t="shared" si="0"/>
        <v>88.935000000000002</v>
      </c>
      <c r="F14" s="720">
        <f t="shared" si="11"/>
        <v>1200.1990000000001</v>
      </c>
      <c r="G14" s="721">
        <v>88.94</v>
      </c>
      <c r="H14" s="721">
        <v>1200.2</v>
      </c>
      <c r="I14" s="721">
        <f t="shared" si="12"/>
        <v>88.94</v>
      </c>
      <c r="J14" s="721">
        <f t="shared" si="13"/>
        <v>1200.2</v>
      </c>
      <c r="K14" s="721">
        <v>81.049499999999995</v>
      </c>
      <c r="L14" s="721">
        <v>1093.3499999999999</v>
      </c>
      <c r="M14" s="1560">
        <f t="shared" si="14"/>
        <v>85</v>
      </c>
      <c r="N14" s="1273">
        <f t="shared" si="7"/>
        <v>1147.03</v>
      </c>
      <c r="O14" s="1179"/>
      <c r="P14" s="1174"/>
      <c r="Q14" s="713">
        <v>85</v>
      </c>
      <c r="R14" s="713">
        <v>102.35</v>
      </c>
      <c r="S14" s="188"/>
      <c r="T14" s="721">
        <f t="shared" si="8"/>
        <v>93.674999999999997</v>
      </c>
      <c r="U14" s="1008">
        <f t="shared" si="9"/>
        <v>5.3238138070609398E-2</v>
      </c>
      <c r="V14">
        <f t="shared" si="10"/>
        <v>13.494490667865978</v>
      </c>
    </row>
    <row r="15" spans="1:23" ht="63">
      <c r="A15" s="992">
        <f t="shared" si="15"/>
        <v>10</v>
      </c>
      <c r="B15" s="874" t="s">
        <v>2460</v>
      </c>
      <c r="C15" s="287">
        <v>92.4</v>
      </c>
      <c r="D15" s="288">
        <v>1246.96</v>
      </c>
      <c r="E15" s="719">
        <f t="shared" si="0"/>
        <v>101.64000000000001</v>
      </c>
      <c r="F15" s="720">
        <f t="shared" si="11"/>
        <v>1371.6560000000002</v>
      </c>
      <c r="G15" s="721">
        <v>101.64000000000001</v>
      </c>
      <c r="H15" s="721">
        <v>1371.66</v>
      </c>
      <c r="I15" s="721">
        <f t="shared" si="12"/>
        <v>101.64000000000001</v>
      </c>
      <c r="J15" s="720">
        <f t="shared" si="13"/>
        <v>1371.66</v>
      </c>
      <c r="K15" s="721">
        <v>93.513000000000005</v>
      </c>
      <c r="L15" s="721">
        <v>1261.49</v>
      </c>
      <c r="M15" s="1560">
        <f t="shared" si="14"/>
        <v>98</v>
      </c>
      <c r="N15" s="1273">
        <f t="shared" si="7"/>
        <v>1322.53</v>
      </c>
      <c r="O15" s="1179"/>
      <c r="P15" s="1174"/>
      <c r="Q15" s="713">
        <v>98</v>
      </c>
      <c r="R15" s="713">
        <v>125.35</v>
      </c>
      <c r="S15" s="188"/>
      <c r="T15" s="721">
        <f t="shared" si="8"/>
        <v>111.675</v>
      </c>
      <c r="U15" s="1008">
        <f t="shared" si="9"/>
        <v>9.8730814639905365E-2</v>
      </c>
      <c r="V15">
        <f t="shared" si="10"/>
        <v>13.495277449822904</v>
      </c>
    </row>
    <row r="16" spans="1:23" s="642" customFormat="1" ht="25.5">
      <c r="A16" s="995"/>
      <c r="B16" s="768" t="s">
        <v>2231</v>
      </c>
      <c r="C16" s="762"/>
      <c r="D16" s="769"/>
      <c r="E16" s="761"/>
      <c r="F16" s="756"/>
      <c r="G16" s="758"/>
      <c r="H16" s="756"/>
      <c r="I16" s="758"/>
      <c r="J16" s="756"/>
      <c r="K16" s="758"/>
      <c r="L16" s="758"/>
      <c r="M16" s="1194"/>
      <c r="N16" s="1194"/>
      <c r="O16" s="1182"/>
      <c r="P16" s="1173" t="str">
        <f>P9</f>
        <v>10% add Rup</v>
      </c>
      <c r="Q16" s="1006" t="s">
        <v>2322</v>
      </c>
      <c r="R16" s="1006" t="s">
        <v>2464</v>
      </c>
      <c r="S16" s="1006" t="s">
        <v>2468</v>
      </c>
      <c r="T16" s="721"/>
      <c r="U16" s="1007"/>
    </row>
    <row r="17" spans="1:22" ht="47.25">
      <c r="A17" s="992">
        <f>A15+1</f>
        <v>11</v>
      </c>
      <c r="B17" s="874" t="s">
        <v>2892</v>
      </c>
      <c r="C17" s="286"/>
      <c r="D17" s="286"/>
      <c r="E17" s="752" t="s">
        <v>2160</v>
      </c>
      <c r="F17" s="752" t="s">
        <v>2160</v>
      </c>
      <c r="G17" s="721">
        <v>31</v>
      </c>
      <c r="H17" s="720">
        <v>867.26</v>
      </c>
      <c r="I17" s="721">
        <v>31</v>
      </c>
      <c r="J17" s="720">
        <v>867.26</v>
      </c>
      <c r="K17" s="721">
        <v>32.550000000000004</v>
      </c>
      <c r="L17" s="721">
        <v>910.62</v>
      </c>
      <c r="M17" s="1560">
        <f>Q17</f>
        <v>36</v>
      </c>
      <c r="N17" s="1273">
        <f t="shared" si="7"/>
        <v>1007.14</v>
      </c>
      <c r="O17" s="1183"/>
      <c r="P17" s="1174"/>
      <c r="Q17" s="721">
        <v>36</v>
      </c>
      <c r="R17" s="721">
        <v>36</v>
      </c>
      <c r="S17" s="188"/>
      <c r="T17" s="721">
        <f t="shared" ref="T17:T37" si="16">AVERAGE(Q17:S17)</f>
        <v>36</v>
      </c>
      <c r="U17" s="1008">
        <f t="shared" ref="U17:U37" si="17">(T17-I17)/I17</f>
        <v>0.16129032258064516</v>
      </c>
      <c r="V17">
        <f t="shared" ref="V17:V37" si="18">J17/I17</f>
        <v>27.976129032258065</v>
      </c>
    </row>
    <row r="18" spans="1:22" ht="47.25">
      <c r="A18" s="992">
        <f>A17+1</f>
        <v>12</v>
      </c>
      <c r="B18" s="874" t="s">
        <v>2893</v>
      </c>
      <c r="C18" s="286"/>
      <c r="D18" s="286"/>
      <c r="E18" s="752" t="s">
        <v>2160</v>
      </c>
      <c r="F18" s="752" t="s">
        <v>2160</v>
      </c>
      <c r="G18" s="721">
        <v>33</v>
      </c>
      <c r="H18" s="720">
        <v>923.21</v>
      </c>
      <c r="I18" s="721">
        <v>33</v>
      </c>
      <c r="J18" s="720">
        <v>923.21</v>
      </c>
      <c r="K18" s="721">
        <v>34.65</v>
      </c>
      <c r="L18" s="721">
        <v>969.37</v>
      </c>
      <c r="M18" s="1560">
        <f t="shared" ref="M18:M22" si="19">Q18</f>
        <v>38</v>
      </c>
      <c r="N18" s="1273">
        <f t="shared" si="7"/>
        <v>1063.0899999999999</v>
      </c>
      <c r="O18" s="1183"/>
      <c r="P18" s="1174"/>
      <c r="Q18" s="721">
        <v>38</v>
      </c>
      <c r="R18" s="721">
        <v>38</v>
      </c>
      <c r="S18" s="188"/>
      <c r="T18" s="721">
        <f t="shared" si="16"/>
        <v>38</v>
      </c>
      <c r="U18" s="1008">
        <f t="shared" si="17"/>
        <v>0.15151515151515152</v>
      </c>
      <c r="V18">
        <f t="shared" si="18"/>
        <v>27.976060606060607</v>
      </c>
    </row>
    <row r="19" spans="1:22" ht="47.25">
      <c r="A19" s="992">
        <f t="shared" ref="A19:A39" si="20">A18+1</f>
        <v>13</v>
      </c>
      <c r="B19" s="874" t="s">
        <v>2894</v>
      </c>
      <c r="C19" s="286"/>
      <c r="D19" s="286"/>
      <c r="E19" s="752" t="s">
        <v>2160</v>
      </c>
      <c r="F19" s="752" t="s">
        <v>2160</v>
      </c>
      <c r="G19" s="721">
        <v>35</v>
      </c>
      <c r="H19" s="720">
        <v>979.16</v>
      </c>
      <c r="I19" s="721">
        <v>35</v>
      </c>
      <c r="J19" s="720">
        <v>979.16</v>
      </c>
      <c r="K19" s="721">
        <v>36.75</v>
      </c>
      <c r="L19" s="721">
        <v>1028.1099999999999</v>
      </c>
      <c r="M19" s="1560">
        <f t="shared" si="19"/>
        <v>40</v>
      </c>
      <c r="N19" s="1273">
        <f t="shared" si="7"/>
        <v>1119.04</v>
      </c>
      <c r="O19" s="1183"/>
      <c r="P19" s="1174"/>
      <c r="Q19" s="721">
        <v>40</v>
      </c>
      <c r="R19" s="721">
        <v>41</v>
      </c>
      <c r="S19" s="188"/>
      <c r="T19" s="721">
        <f t="shared" si="16"/>
        <v>40.5</v>
      </c>
      <c r="U19" s="1008">
        <f t="shared" si="17"/>
        <v>0.15714285714285714</v>
      </c>
      <c r="V19">
        <f t="shared" si="18"/>
        <v>27.975999999999999</v>
      </c>
    </row>
    <row r="20" spans="1:22" ht="47.25">
      <c r="A20" s="992">
        <f t="shared" si="20"/>
        <v>14</v>
      </c>
      <c r="B20" s="874" t="s">
        <v>2365</v>
      </c>
      <c r="C20" s="286"/>
      <c r="D20" s="286"/>
      <c r="E20" s="752" t="s">
        <v>2160</v>
      </c>
      <c r="F20" s="752" t="s">
        <v>2160</v>
      </c>
      <c r="G20" s="721">
        <v>46.15</v>
      </c>
      <c r="H20" s="720">
        <v>1291.0899999999999</v>
      </c>
      <c r="I20" s="721">
        <v>46.15</v>
      </c>
      <c r="J20" s="720">
        <v>1291.0899999999999</v>
      </c>
      <c r="K20" s="721">
        <v>48.457500000000003</v>
      </c>
      <c r="L20" s="721">
        <v>1355.64</v>
      </c>
      <c r="M20" s="1560">
        <f t="shared" si="19"/>
        <v>53</v>
      </c>
      <c r="N20" s="1273">
        <f t="shared" si="7"/>
        <v>1482.72</v>
      </c>
      <c r="O20" s="1183"/>
      <c r="P20" s="1174"/>
      <c r="Q20" s="721">
        <v>53</v>
      </c>
      <c r="R20" s="721">
        <v>48</v>
      </c>
      <c r="S20" s="188"/>
      <c r="T20" s="721">
        <f t="shared" si="16"/>
        <v>50.5</v>
      </c>
      <c r="U20" s="1008">
        <f t="shared" si="17"/>
        <v>9.4257854821235137E-2</v>
      </c>
      <c r="V20">
        <f t="shared" si="18"/>
        <v>27.975947995666303</v>
      </c>
    </row>
    <row r="21" spans="1:22" ht="47.25">
      <c r="A21" s="992">
        <f t="shared" si="20"/>
        <v>15</v>
      </c>
      <c r="B21" s="874" t="s">
        <v>2366</v>
      </c>
      <c r="C21" s="286"/>
      <c r="D21" s="286"/>
      <c r="E21" s="752" t="s">
        <v>2160</v>
      </c>
      <c r="F21" s="752" t="s">
        <v>2160</v>
      </c>
      <c r="G21" s="721">
        <v>48.07</v>
      </c>
      <c r="H21" s="720">
        <v>1344.8</v>
      </c>
      <c r="I21" s="721">
        <v>48.07</v>
      </c>
      <c r="J21" s="720">
        <v>1344.8</v>
      </c>
      <c r="K21" s="721">
        <v>50.473500000000001</v>
      </c>
      <c r="L21" s="721">
        <v>1412.04</v>
      </c>
      <c r="M21" s="1560">
        <f t="shared" si="19"/>
        <v>55</v>
      </c>
      <c r="N21" s="1273">
        <f t="shared" si="7"/>
        <v>1538.67</v>
      </c>
      <c r="O21" s="1183"/>
      <c r="P21" s="1174"/>
      <c r="Q21" s="721">
        <v>55</v>
      </c>
      <c r="R21" s="721">
        <v>52</v>
      </c>
      <c r="S21" s="188"/>
      <c r="T21" s="721">
        <f t="shared" si="16"/>
        <v>53.5</v>
      </c>
      <c r="U21" s="1008">
        <f t="shared" si="17"/>
        <v>0.11296026627834407</v>
      </c>
      <c r="V21">
        <f t="shared" si="18"/>
        <v>27.975868525067607</v>
      </c>
    </row>
    <row r="22" spans="1:22" ht="47.25">
      <c r="A22" s="992">
        <f t="shared" si="20"/>
        <v>16</v>
      </c>
      <c r="B22" s="874" t="s">
        <v>2367</v>
      </c>
      <c r="C22" s="286"/>
      <c r="D22" s="286"/>
      <c r="E22" s="752" t="s">
        <v>2160</v>
      </c>
      <c r="F22" s="752" t="s">
        <v>2160</v>
      </c>
      <c r="G22" s="721">
        <v>50</v>
      </c>
      <c r="H22" s="720">
        <v>1398.8</v>
      </c>
      <c r="I22" s="721">
        <v>50</v>
      </c>
      <c r="J22" s="720">
        <v>1398.8</v>
      </c>
      <c r="K22" s="721">
        <v>52.5</v>
      </c>
      <c r="L22" s="721">
        <v>1468.74</v>
      </c>
      <c r="M22" s="1560">
        <f t="shared" si="19"/>
        <v>57</v>
      </c>
      <c r="N22" s="1273">
        <f t="shared" si="7"/>
        <v>1594.63</v>
      </c>
      <c r="O22" s="1183"/>
      <c r="P22" s="1174"/>
      <c r="Q22" s="721">
        <v>57</v>
      </c>
      <c r="R22" s="721">
        <v>54</v>
      </c>
      <c r="S22" s="188"/>
      <c r="T22" s="721">
        <f t="shared" si="16"/>
        <v>55.5</v>
      </c>
      <c r="U22" s="1008">
        <f t="shared" si="17"/>
        <v>0.11</v>
      </c>
      <c r="V22">
        <f t="shared" si="18"/>
        <v>27.975999999999999</v>
      </c>
    </row>
    <row r="23" spans="1:22" ht="47.25">
      <c r="A23" s="992">
        <f t="shared" si="20"/>
        <v>17</v>
      </c>
      <c r="B23" s="874" t="s">
        <v>2895</v>
      </c>
      <c r="C23" s="286"/>
      <c r="D23" s="286"/>
      <c r="E23" s="752" t="s">
        <v>2160</v>
      </c>
      <c r="F23" s="752" t="s">
        <v>2160</v>
      </c>
      <c r="G23" s="721">
        <v>36.82</v>
      </c>
      <c r="H23" s="720">
        <v>1093.47</v>
      </c>
      <c r="I23" s="721">
        <v>36.82</v>
      </c>
      <c r="J23" s="720">
        <v>1093.47</v>
      </c>
      <c r="K23" s="721">
        <v>38.661000000000001</v>
      </c>
      <c r="L23" s="721">
        <v>1148.1400000000001</v>
      </c>
      <c r="M23" s="1560">
        <v>39</v>
      </c>
      <c r="N23" s="1273">
        <f t="shared" si="7"/>
        <v>1158.21</v>
      </c>
      <c r="O23" s="1183"/>
      <c r="P23" s="1174">
        <f>Q23*105%</f>
        <v>0</v>
      </c>
      <c r="Q23" s="1013"/>
      <c r="R23" s="188"/>
      <c r="S23" s="721">
        <v>44.46</v>
      </c>
      <c r="T23" s="721">
        <f t="shared" si="16"/>
        <v>44.46</v>
      </c>
      <c r="U23" s="1008">
        <f t="shared" si="17"/>
        <v>0.20749592612710485</v>
      </c>
      <c r="V23">
        <f t="shared" si="18"/>
        <v>29.697718631178709</v>
      </c>
    </row>
    <row r="24" spans="1:22" ht="47.25">
      <c r="A24" s="992">
        <f t="shared" si="20"/>
        <v>18</v>
      </c>
      <c r="B24" s="874" t="s">
        <v>2368</v>
      </c>
      <c r="C24" s="286"/>
      <c r="D24" s="286"/>
      <c r="E24" s="752" t="s">
        <v>2160</v>
      </c>
      <c r="F24" s="752" t="s">
        <v>2160</v>
      </c>
      <c r="G24" s="721">
        <v>43.82</v>
      </c>
      <c r="H24" s="720">
        <v>1301.3499999999999</v>
      </c>
      <c r="I24" s="721">
        <v>43.82</v>
      </c>
      <c r="J24" s="720">
        <v>1301.3499999999999</v>
      </c>
      <c r="K24" s="721">
        <v>46.011000000000003</v>
      </c>
      <c r="L24" s="721">
        <v>1366.41</v>
      </c>
      <c r="M24" s="1560">
        <v>46</v>
      </c>
      <c r="N24" s="1273">
        <f t="shared" si="7"/>
        <v>1366.09</v>
      </c>
      <c r="O24" s="1183"/>
      <c r="P24" s="1174">
        <f t="shared" ref="P24:P25" si="21">Q24*105%</f>
        <v>0</v>
      </c>
      <c r="Q24" s="188"/>
      <c r="R24" s="188"/>
      <c r="S24" s="721">
        <v>52.26</v>
      </c>
      <c r="T24" s="721">
        <f t="shared" si="16"/>
        <v>52.26</v>
      </c>
      <c r="U24" s="1008">
        <f t="shared" si="17"/>
        <v>0.19260611592879959</v>
      </c>
      <c r="V24">
        <f t="shared" si="18"/>
        <v>29.697626654495661</v>
      </c>
    </row>
    <row r="25" spans="1:22" ht="47.25">
      <c r="A25" s="992">
        <f t="shared" si="20"/>
        <v>19</v>
      </c>
      <c r="B25" s="874" t="s">
        <v>2369</v>
      </c>
      <c r="C25" s="286"/>
      <c r="D25" s="286"/>
      <c r="E25" s="752" t="s">
        <v>2160</v>
      </c>
      <c r="F25" s="752" t="s">
        <v>2160</v>
      </c>
      <c r="G25" s="721">
        <v>47.92</v>
      </c>
      <c r="H25" s="720">
        <v>1423.11</v>
      </c>
      <c r="I25" s="721">
        <v>47.92</v>
      </c>
      <c r="J25" s="720">
        <v>1423.11</v>
      </c>
      <c r="K25" s="721">
        <v>50.316000000000003</v>
      </c>
      <c r="L25" s="721">
        <v>1494.26</v>
      </c>
      <c r="M25" s="1560">
        <v>51</v>
      </c>
      <c r="N25" s="1273">
        <f t="shared" si="7"/>
        <v>1514.57</v>
      </c>
      <c r="O25" s="1183"/>
      <c r="P25" s="1174">
        <f t="shared" si="21"/>
        <v>0</v>
      </c>
      <c r="Q25" s="188"/>
      <c r="R25" s="188"/>
      <c r="S25" s="721">
        <v>56.16</v>
      </c>
      <c r="T25" s="721">
        <f t="shared" si="16"/>
        <v>56.16</v>
      </c>
      <c r="U25" s="1008">
        <f t="shared" si="17"/>
        <v>0.17195325542570941</v>
      </c>
      <c r="V25">
        <f t="shared" si="18"/>
        <v>29.697621035058429</v>
      </c>
    </row>
    <row r="26" spans="1:22" ht="47.25">
      <c r="A26" s="992">
        <f t="shared" si="20"/>
        <v>20</v>
      </c>
      <c r="B26" s="874" t="s">
        <v>2370</v>
      </c>
      <c r="C26" s="287">
        <v>27.83</v>
      </c>
      <c r="D26" s="290">
        <v>826.34</v>
      </c>
      <c r="E26" s="719">
        <f t="shared" si="0"/>
        <v>30.613</v>
      </c>
      <c r="F26" s="720">
        <f t="shared" si="11"/>
        <v>908.97400000000016</v>
      </c>
      <c r="G26" s="721">
        <v>30.613</v>
      </c>
      <c r="H26" s="720">
        <v>908.97400000000016</v>
      </c>
      <c r="I26" s="721">
        <v>30.613</v>
      </c>
      <c r="J26" s="720">
        <v>908.97400000000016</v>
      </c>
      <c r="K26" s="721">
        <v>32.143650000000001</v>
      </c>
      <c r="L26" s="721">
        <v>954.42</v>
      </c>
      <c r="M26" s="1560">
        <f>Q26</f>
        <v>33</v>
      </c>
      <c r="N26" s="1273">
        <f t="shared" si="7"/>
        <v>979.84</v>
      </c>
      <c r="O26" s="1183"/>
      <c r="P26" s="1174">
        <f t="shared" ref="P26:P37" si="22">TRUNC(Q26*110%,2)</f>
        <v>36.299999999999997</v>
      </c>
      <c r="Q26" s="721">
        <v>33</v>
      </c>
      <c r="R26" s="188"/>
      <c r="S26" s="188"/>
      <c r="T26" s="721">
        <f t="shared" si="16"/>
        <v>33</v>
      </c>
      <c r="U26" s="1008">
        <f t="shared" si="17"/>
        <v>7.7973409989220283E-2</v>
      </c>
      <c r="V26">
        <f t="shared" si="18"/>
        <v>29.69241825368308</v>
      </c>
    </row>
    <row r="27" spans="1:22" ht="47.25">
      <c r="A27" s="992">
        <f t="shared" si="20"/>
        <v>21</v>
      </c>
      <c r="B27" s="874" t="s">
        <v>2371</v>
      </c>
      <c r="C27" s="287">
        <v>34.130000000000003</v>
      </c>
      <c r="D27" s="290">
        <v>1013.43</v>
      </c>
      <c r="E27" s="719">
        <f t="shared" si="0"/>
        <v>37.543000000000006</v>
      </c>
      <c r="F27" s="720">
        <f t="shared" si="11"/>
        <v>1114.7730000000001</v>
      </c>
      <c r="G27" s="721">
        <v>37.543000000000006</v>
      </c>
      <c r="H27" s="720">
        <v>1114.7730000000001</v>
      </c>
      <c r="I27" s="721">
        <v>37.543000000000006</v>
      </c>
      <c r="J27" s="720">
        <v>1114.7730000000001</v>
      </c>
      <c r="K27" s="721">
        <v>39.420150000000007</v>
      </c>
      <c r="L27" s="721">
        <v>1170.51</v>
      </c>
      <c r="M27" s="1560">
        <f t="shared" ref="M27:M28" si="23">Q27</f>
        <v>40</v>
      </c>
      <c r="N27" s="1273">
        <f>TRUNC(M27*V27,2)</f>
        <v>1187.72</v>
      </c>
      <c r="O27" s="1183"/>
      <c r="P27" s="1174">
        <f t="shared" si="22"/>
        <v>44</v>
      </c>
      <c r="Q27" s="721">
        <v>40</v>
      </c>
      <c r="R27" s="188"/>
      <c r="S27" s="188"/>
      <c r="T27" s="721">
        <f t="shared" si="16"/>
        <v>40</v>
      </c>
      <c r="U27" s="1008">
        <f t="shared" si="17"/>
        <v>6.5444956449937225E-2</v>
      </c>
      <c r="V27">
        <f t="shared" si="18"/>
        <v>29.693231760914152</v>
      </c>
    </row>
    <row r="28" spans="1:22" ht="47.25">
      <c r="A28" s="992">
        <f t="shared" si="20"/>
        <v>22</v>
      </c>
      <c r="B28" s="874" t="s">
        <v>2372</v>
      </c>
      <c r="C28" s="287">
        <v>36.229999999999997</v>
      </c>
      <c r="D28" s="290">
        <v>1075.8</v>
      </c>
      <c r="E28" s="719">
        <f t="shared" si="0"/>
        <v>39.853000000000002</v>
      </c>
      <c r="F28" s="720">
        <f t="shared" si="11"/>
        <v>1183.3800000000001</v>
      </c>
      <c r="G28" s="721">
        <v>39.853000000000002</v>
      </c>
      <c r="H28" s="720">
        <v>1183.3800000000001</v>
      </c>
      <c r="I28" s="721">
        <v>39.853000000000002</v>
      </c>
      <c r="J28" s="720">
        <v>1183.3800000000001</v>
      </c>
      <c r="K28" s="721">
        <v>41.845650000000006</v>
      </c>
      <c r="L28" s="721">
        <v>1242.54</v>
      </c>
      <c r="M28" s="1560">
        <f t="shared" si="23"/>
        <v>43</v>
      </c>
      <c r="N28" s="1273">
        <f t="shared" si="7"/>
        <v>1276.82</v>
      </c>
      <c r="O28" s="1183"/>
      <c r="P28" s="1174">
        <f t="shared" si="22"/>
        <v>47.3</v>
      </c>
      <c r="Q28" s="721">
        <v>43</v>
      </c>
      <c r="R28" s="188"/>
      <c r="S28" s="188"/>
      <c r="T28" s="721">
        <f t="shared" si="16"/>
        <v>43</v>
      </c>
      <c r="U28" s="1008">
        <f t="shared" si="17"/>
        <v>7.8965197099340037E-2</v>
      </c>
      <c r="V28">
        <f t="shared" si="18"/>
        <v>29.693624068451562</v>
      </c>
    </row>
    <row r="29" spans="1:22" ht="47.25">
      <c r="A29" s="992">
        <f t="shared" si="20"/>
        <v>23</v>
      </c>
      <c r="B29" s="874" t="s">
        <v>2417</v>
      </c>
      <c r="C29" s="287">
        <v>33.6</v>
      </c>
      <c r="D29" s="290">
        <v>997.84</v>
      </c>
      <c r="E29" s="719">
        <f t="shared" si="0"/>
        <v>36.960000000000008</v>
      </c>
      <c r="F29" s="720">
        <f t="shared" si="11"/>
        <v>1097.624</v>
      </c>
      <c r="G29" s="721">
        <v>36.960000000000008</v>
      </c>
      <c r="H29" s="720">
        <v>1097.624</v>
      </c>
      <c r="I29" s="721">
        <v>36.960000000000008</v>
      </c>
      <c r="J29" s="720">
        <v>1097.624</v>
      </c>
      <c r="K29" s="721">
        <v>38.808000000000007</v>
      </c>
      <c r="L29" s="721">
        <v>1152.5</v>
      </c>
      <c r="M29" s="1560">
        <v>39</v>
      </c>
      <c r="N29" s="1273">
        <f t="shared" si="7"/>
        <v>1158.2</v>
      </c>
      <c r="O29" s="1183"/>
      <c r="P29" s="1174">
        <f t="shared" si="22"/>
        <v>41.8</v>
      </c>
      <c r="Q29" s="721">
        <v>38</v>
      </c>
      <c r="R29" s="188"/>
      <c r="S29" s="721">
        <v>51.3</v>
      </c>
      <c r="T29" s="721">
        <f t="shared" si="16"/>
        <v>44.65</v>
      </c>
      <c r="U29" s="1008">
        <f t="shared" si="17"/>
        <v>0.20806277056277026</v>
      </c>
      <c r="V29">
        <f t="shared" si="18"/>
        <v>29.697619047619042</v>
      </c>
    </row>
    <row r="30" spans="1:22" ht="47.25">
      <c r="A30" s="992">
        <f t="shared" si="20"/>
        <v>24</v>
      </c>
      <c r="B30" s="874" t="s">
        <v>2418</v>
      </c>
      <c r="C30" s="287">
        <v>39.9</v>
      </c>
      <c r="D30" s="290">
        <v>1184.93</v>
      </c>
      <c r="E30" s="719">
        <f t="shared" si="0"/>
        <v>43.89</v>
      </c>
      <c r="F30" s="720">
        <f t="shared" si="11"/>
        <v>1303.4230000000002</v>
      </c>
      <c r="G30" s="721">
        <v>43.89</v>
      </c>
      <c r="H30" s="720">
        <v>1303.4230000000002</v>
      </c>
      <c r="I30" s="721">
        <v>43.89</v>
      </c>
      <c r="J30" s="720">
        <v>1303.4230000000002</v>
      </c>
      <c r="K30" s="721">
        <v>46.084500000000006</v>
      </c>
      <c r="L30" s="721">
        <v>1368.59</v>
      </c>
      <c r="M30" s="1560">
        <v>46</v>
      </c>
      <c r="N30" s="1273">
        <f t="shared" si="7"/>
        <v>1366.08</v>
      </c>
      <c r="O30" s="1183"/>
      <c r="P30" s="1174">
        <f t="shared" si="22"/>
        <v>49.5</v>
      </c>
      <c r="Q30" s="721">
        <v>45</v>
      </c>
      <c r="R30" s="188"/>
      <c r="S30" s="721">
        <v>60.3</v>
      </c>
      <c r="T30" s="721">
        <f t="shared" si="16"/>
        <v>52.65</v>
      </c>
      <c r="U30" s="1008">
        <f t="shared" si="17"/>
        <v>0.19958988380041007</v>
      </c>
      <c r="V30">
        <f t="shared" si="18"/>
        <v>29.697493734335843</v>
      </c>
    </row>
    <row r="31" spans="1:22" ht="47.25">
      <c r="A31" s="992">
        <f t="shared" si="20"/>
        <v>25</v>
      </c>
      <c r="B31" s="874" t="s">
        <v>2419</v>
      </c>
      <c r="C31" s="287">
        <v>42</v>
      </c>
      <c r="D31" s="290">
        <v>1247.3</v>
      </c>
      <c r="E31" s="719">
        <f t="shared" si="0"/>
        <v>46.2</v>
      </c>
      <c r="F31" s="720">
        <f t="shared" si="11"/>
        <v>1372.03</v>
      </c>
      <c r="G31" s="721">
        <v>46.2</v>
      </c>
      <c r="H31" s="720">
        <v>1372.03</v>
      </c>
      <c r="I31" s="721">
        <v>46.2</v>
      </c>
      <c r="J31" s="720">
        <v>1372.03</v>
      </c>
      <c r="K31" s="721">
        <v>48.510000000000005</v>
      </c>
      <c r="L31" s="721">
        <v>1440.63</v>
      </c>
      <c r="M31" s="1560">
        <v>49</v>
      </c>
      <c r="N31" s="1273">
        <f t="shared" si="7"/>
        <v>1455.18</v>
      </c>
      <c r="O31" s="1183"/>
      <c r="P31" s="1174">
        <f t="shared" si="22"/>
        <v>52.8</v>
      </c>
      <c r="Q31" s="721">
        <v>48</v>
      </c>
      <c r="R31" s="188"/>
      <c r="S31" s="721">
        <v>64.8</v>
      </c>
      <c r="T31" s="721">
        <f t="shared" si="16"/>
        <v>56.4</v>
      </c>
      <c r="U31" s="1008">
        <f t="shared" si="17"/>
        <v>0.22077922077922069</v>
      </c>
      <c r="V31">
        <f t="shared" si="18"/>
        <v>29.697619047619046</v>
      </c>
    </row>
    <row r="32" spans="1:22" ht="47.25">
      <c r="A32" s="992">
        <f t="shared" si="20"/>
        <v>26</v>
      </c>
      <c r="B32" s="874" t="s">
        <v>2420</v>
      </c>
      <c r="C32" s="287">
        <v>39.9</v>
      </c>
      <c r="D32" s="290">
        <v>1184.93</v>
      </c>
      <c r="E32" s="719">
        <f t="shared" si="0"/>
        <v>43.89</v>
      </c>
      <c r="F32" s="720">
        <f t="shared" si="11"/>
        <v>1303.4230000000002</v>
      </c>
      <c r="G32" s="721">
        <v>43.89</v>
      </c>
      <c r="H32" s="720">
        <v>1303.4230000000002</v>
      </c>
      <c r="I32" s="721">
        <v>43.89</v>
      </c>
      <c r="J32" s="720">
        <v>1303.4230000000002</v>
      </c>
      <c r="K32" s="721">
        <v>46.084500000000006</v>
      </c>
      <c r="L32" s="721">
        <v>1368.59</v>
      </c>
      <c r="M32" s="1560">
        <f t="shared" ref="M32:M36" si="24">Q32</f>
        <v>47</v>
      </c>
      <c r="N32" s="1273">
        <f t="shared" si="7"/>
        <v>1395.78</v>
      </c>
      <c r="O32" s="1183"/>
      <c r="P32" s="1174">
        <f t="shared" si="22"/>
        <v>51.7</v>
      </c>
      <c r="Q32" s="721">
        <v>47</v>
      </c>
      <c r="R32" s="188"/>
      <c r="S32" s="721">
        <v>62.7</v>
      </c>
      <c r="T32" s="721">
        <f t="shared" si="16"/>
        <v>54.85</v>
      </c>
      <c r="U32" s="1008">
        <f t="shared" si="17"/>
        <v>0.24971519708361814</v>
      </c>
      <c r="V32">
        <f t="shared" si="18"/>
        <v>29.697493734335843</v>
      </c>
    </row>
    <row r="33" spans="1:23" ht="47.25">
      <c r="A33" s="992">
        <f t="shared" si="20"/>
        <v>27</v>
      </c>
      <c r="B33" s="874" t="s">
        <v>2421</v>
      </c>
      <c r="C33" s="287">
        <v>46.2</v>
      </c>
      <c r="D33" s="290">
        <v>1372.03</v>
      </c>
      <c r="E33" s="719">
        <f t="shared" si="0"/>
        <v>50.820000000000007</v>
      </c>
      <c r="F33" s="720">
        <f t="shared" si="11"/>
        <v>1509.2330000000002</v>
      </c>
      <c r="G33" s="721">
        <v>50.820000000000007</v>
      </c>
      <c r="H33" s="720">
        <v>1509.2330000000002</v>
      </c>
      <c r="I33" s="721">
        <v>50.820000000000007</v>
      </c>
      <c r="J33" s="720">
        <v>1509.2330000000002</v>
      </c>
      <c r="K33" s="721">
        <v>53.361000000000011</v>
      </c>
      <c r="L33" s="721">
        <v>1584.69</v>
      </c>
      <c r="M33" s="1560">
        <f t="shared" si="24"/>
        <v>54</v>
      </c>
      <c r="N33" s="1273">
        <f t="shared" si="7"/>
        <v>1603.67</v>
      </c>
      <c r="O33" s="1183"/>
      <c r="P33" s="1174">
        <f t="shared" si="22"/>
        <v>59.4</v>
      </c>
      <c r="Q33" s="721">
        <v>54</v>
      </c>
      <c r="R33" s="188"/>
      <c r="S33" s="721">
        <v>73.7</v>
      </c>
      <c r="T33" s="721">
        <f t="shared" si="16"/>
        <v>63.85</v>
      </c>
      <c r="U33" s="1008">
        <f t="shared" si="17"/>
        <v>0.25639512003148351</v>
      </c>
      <c r="V33">
        <f t="shared" si="18"/>
        <v>29.697619047619046</v>
      </c>
    </row>
    <row r="34" spans="1:23" ht="47.25">
      <c r="A34" s="992">
        <f t="shared" si="20"/>
        <v>28</v>
      </c>
      <c r="B34" s="874" t="s">
        <v>2422</v>
      </c>
      <c r="C34" s="287">
        <v>48.3</v>
      </c>
      <c r="D34" s="290">
        <v>1434.39</v>
      </c>
      <c r="E34" s="719">
        <f t="shared" si="0"/>
        <v>53.13</v>
      </c>
      <c r="F34" s="720">
        <f t="shared" si="11"/>
        <v>1577.8290000000002</v>
      </c>
      <c r="G34" s="721">
        <v>53.13</v>
      </c>
      <c r="H34" s="720">
        <v>1577.8290000000002</v>
      </c>
      <c r="I34" s="721">
        <v>53.13</v>
      </c>
      <c r="J34" s="720">
        <v>1577.8290000000002</v>
      </c>
      <c r="K34" s="721">
        <v>55.786500000000004</v>
      </c>
      <c r="L34" s="721">
        <v>1656.72</v>
      </c>
      <c r="M34" s="1560">
        <v>56</v>
      </c>
      <c r="N34" s="1273">
        <f t="shared" si="7"/>
        <v>1663.06</v>
      </c>
      <c r="O34" s="1183"/>
      <c r="P34" s="1174">
        <f t="shared" si="22"/>
        <v>62.7</v>
      </c>
      <c r="Q34" s="721">
        <v>57</v>
      </c>
      <c r="R34" s="188"/>
      <c r="S34" s="721">
        <v>79.2</v>
      </c>
      <c r="T34" s="721">
        <f t="shared" si="16"/>
        <v>68.099999999999994</v>
      </c>
      <c r="U34" s="1008">
        <f t="shared" si="17"/>
        <v>0.28176171654432508</v>
      </c>
      <c r="V34">
        <f t="shared" si="18"/>
        <v>29.697515527950312</v>
      </c>
    </row>
    <row r="35" spans="1:23" ht="47.25">
      <c r="A35" s="992">
        <f t="shared" si="20"/>
        <v>29</v>
      </c>
      <c r="B35" s="874" t="s">
        <v>2423</v>
      </c>
      <c r="C35" s="287">
        <v>48.3</v>
      </c>
      <c r="D35" s="290">
        <v>1434.39</v>
      </c>
      <c r="E35" s="719">
        <f t="shared" si="0"/>
        <v>53.13</v>
      </c>
      <c r="F35" s="720">
        <f t="shared" si="11"/>
        <v>1577.8290000000002</v>
      </c>
      <c r="G35" s="721">
        <v>53.13</v>
      </c>
      <c r="H35" s="720">
        <v>1577.8290000000002</v>
      </c>
      <c r="I35" s="721">
        <v>53.13</v>
      </c>
      <c r="J35" s="720">
        <v>1577.8290000000002</v>
      </c>
      <c r="K35" s="721">
        <v>55.786500000000004</v>
      </c>
      <c r="L35" s="721">
        <v>1656.72</v>
      </c>
      <c r="M35" s="1560">
        <v>56</v>
      </c>
      <c r="N35" s="1273">
        <f t="shared" si="7"/>
        <v>1663.06</v>
      </c>
      <c r="O35" s="1183"/>
      <c r="P35" s="1174">
        <f t="shared" si="22"/>
        <v>62.7</v>
      </c>
      <c r="Q35" s="721">
        <v>57</v>
      </c>
      <c r="R35" s="188"/>
      <c r="S35" s="721">
        <v>70.680000000000007</v>
      </c>
      <c r="T35" s="721">
        <f t="shared" si="16"/>
        <v>63.84</v>
      </c>
      <c r="U35" s="1008">
        <f t="shared" si="17"/>
        <v>0.20158102766798419</v>
      </c>
      <c r="V35">
        <f t="shared" si="18"/>
        <v>29.697515527950312</v>
      </c>
    </row>
    <row r="36" spans="1:23" ht="47.25">
      <c r="A36" s="992">
        <f t="shared" si="20"/>
        <v>30</v>
      </c>
      <c r="B36" s="874" t="s">
        <v>2424</v>
      </c>
      <c r="C36" s="287">
        <v>54.6</v>
      </c>
      <c r="D36" s="290">
        <v>1621.49</v>
      </c>
      <c r="E36" s="719">
        <f t="shared" si="0"/>
        <v>60.060000000000009</v>
      </c>
      <c r="F36" s="720">
        <f t="shared" si="11"/>
        <v>1783.6390000000001</v>
      </c>
      <c r="G36" s="721">
        <v>60.060000000000009</v>
      </c>
      <c r="H36" s="720">
        <v>1783.6390000000001</v>
      </c>
      <c r="I36" s="721">
        <v>60.060000000000009</v>
      </c>
      <c r="J36" s="720">
        <v>1783.6390000000001</v>
      </c>
      <c r="K36" s="721">
        <v>63.063000000000009</v>
      </c>
      <c r="L36" s="721">
        <v>1872.82</v>
      </c>
      <c r="M36" s="1560">
        <f t="shared" si="24"/>
        <v>64</v>
      </c>
      <c r="N36" s="1273">
        <f t="shared" si="7"/>
        <v>1900.64</v>
      </c>
      <c r="O36" s="1183"/>
      <c r="P36" s="1174">
        <f t="shared" si="22"/>
        <v>70.400000000000006</v>
      </c>
      <c r="Q36" s="721">
        <v>64</v>
      </c>
      <c r="R36" s="188"/>
      <c r="S36" s="721">
        <v>83.08</v>
      </c>
      <c r="T36" s="721">
        <f t="shared" si="16"/>
        <v>73.539999999999992</v>
      </c>
      <c r="U36" s="1008">
        <f t="shared" si="17"/>
        <v>0.22444222444222411</v>
      </c>
      <c r="V36">
        <f t="shared" si="18"/>
        <v>29.697619047619046</v>
      </c>
    </row>
    <row r="37" spans="1:23" ht="47.25">
      <c r="A37" s="992">
        <f t="shared" si="20"/>
        <v>31</v>
      </c>
      <c r="B37" s="874" t="s">
        <v>2425</v>
      </c>
      <c r="C37" s="287">
        <v>56.7</v>
      </c>
      <c r="D37" s="290">
        <v>1683.85</v>
      </c>
      <c r="E37" s="719">
        <f t="shared" si="0"/>
        <v>62.370000000000012</v>
      </c>
      <c r="F37" s="720">
        <f t="shared" si="11"/>
        <v>1852.2350000000001</v>
      </c>
      <c r="G37" s="721">
        <v>62.370000000000012</v>
      </c>
      <c r="H37" s="720">
        <v>1852.2350000000001</v>
      </c>
      <c r="I37" s="721">
        <v>62.370000000000012</v>
      </c>
      <c r="J37" s="720">
        <v>1852.2350000000001</v>
      </c>
      <c r="K37" s="721">
        <v>65.488500000000016</v>
      </c>
      <c r="L37" s="721">
        <v>1944.84</v>
      </c>
      <c r="M37" s="1560">
        <f>Q37</f>
        <v>66</v>
      </c>
      <c r="N37" s="1273">
        <f t="shared" si="7"/>
        <v>1960.03</v>
      </c>
      <c r="O37" s="1183"/>
      <c r="P37" s="1174">
        <f t="shared" si="22"/>
        <v>72.599999999999994</v>
      </c>
      <c r="Q37" s="721">
        <v>66</v>
      </c>
      <c r="R37" s="188"/>
      <c r="S37" s="721">
        <v>89.28</v>
      </c>
      <c r="T37" s="721">
        <f t="shared" si="16"/>
        <v>77.64</v>
      </c>
      <c r="U37" s="1008">
        <f t="shared" si="17"/>
        <v>0.24482924482924462</v>
      </c>
      <c r="V37">
        <f t="shared" si="18"/>
        <v>29.697530864197528</v>
      </c>
    </row>
    <row r="38" spans="1:23" ht="63">
      <c r="A38" s="992">
        <f t="shared" si="20"/>
        <v>32</v>
      </c>
      <c r="B38" s="874" t="s">
        <v>2525</v>
      </c>
      <c r="C38" s="287"/>
      <c r="D38" s="290"/>
      <c r="E38" s="719"/>
      <c r="F38" s="720"/>
      <c r="G38" s="1011" t="s">
        <v>2160</v>
      </c>
      <c r="H38" s="1011" t="s">
        <v>2160</v>
      </c>
      <c r="I38" s="1393">
        <v>0</v>
      </c>
      <c r="J38" s="1393">
        <v>0</v>
      </c>
      <c r="K38" s="721">
        <v>25.07</v>
      </c>
      <c r="L38" s="721">
        <v>744.57899999999995</v>
      </c>
      <c r="M38" s="1560">
        <v>26</v>
      </c>
      <c r="N38" s="1273">
        <f>TRUNC(M38*V38,2)</f>
        <v>772.2</v>
      </c>
      <c r="O38" s="1183"/>
      <c r="P38" s="1173" t="s">
        <v>2527</v>
      </c>
      <c r="Q38" s="721"/>
      <c r="R38" s="188"/>
      <c r="S38" s="721"/>
      <c r="T38" s="721"/>
      <c r="U38" s="1008"/>
      <c r="V38" s="1392">
        <f>L38/K38</f>
        <v>29.7</v>
      </c>
    </row>
    <row r="39" spans="1:23" ht="63">
      <c r="A39" s="992">
        <f t="shared" si="20"/>
        <v>33</v>
      </c>
      <c r="B39" s="874" t="s">
        <v>2526</v>
      </c>
      <c r="C39" s="287"/>
      <c r="D39" s="290"/>
      <c r="E39" s="719"/>
      <c r="F39" s="720"/>
      <c r="G39" s="1011" t="s">
        <v>2160</v>
      </c>
      <c r="H39" s="1011" t="s">
        <v>2160</v>
      </c>
      <c r="I39" s="1393">
        <v>0</v>
      </c>
      <c r="J39" s="1393">
        <v>0</v>
      </c>
      <c r="K39" s="721">
        <v>30.07</v>
      </c>
      <c r="L39" s="721">
        <v>893.07899999999995</v>
      </c>
      <c r="M39" s="1560">
        <v>31</v>
      </c>
      <c r="N39" s="1273">
        <f>TRUNC(M39*V39,2)</f>
        <v>920.7</v>
      </c>
      <c r="O39" s="1183"/>
      <c r="P39" s="1173" t="s">
        <v>2527</v>
      </c>
      <c r="Q39" s="721"/>
      <c r="R39" s="188"/>
      <c r="S39" s="721"/>
      <c r="T39" s="721"/>
      <c r="U39" s="1008"/>
      <c r="V39" s="1392">
        <f>L39/K39</f>
        <v>29.7</v>
      </c>
    </row>
    <row r="40" spans="1:23" s="642" customFormat="1" ht="25.5">
      <c r="A40" s="995"/>
      <c r="B40" s="759" t="s">
        <v>2230</v>
      </c>
      <c r="C40" s="762"/>
      <c r="D40" s="763"/>
      <c r="E40" s="761"/>
      <c r="F40" s="756"/>
      <c r="G40" s="758"/>
      <c r="H40" s="756"/>
      <c r="I40" s="758"/>
      <c r="J40" s="756"/>
      <c r="K40" s="758"/>
      <c r="L40" s="758"/>
      <c r="M40" s="1194"/>
      <c r="N40" s="1194"/>
      <c r="O40" s="1182"/>
      <c r="P40" s="1173" t="str">
        <f>P16</f>
        <v>10% add Rup</v>
      </c>
      <c r="Q40" s="1006" t="s">
        <v>2322</v>
      </c>
      <c r="R40" s="1006" t="s">
        <v>2464</v>
      </c>
      <c r="S40" s="1006" t="s">
        <v>2468</v>
      </c>
      <c r="T40" s="1006" t="s">
        <v>2471</v>
      </c>
      <c r="U40" s="1008"/>
    </row>
    <row r="41" spans="1:23" ht="47.25">
      <c r="A41" s="992">
        <f>A39+1</f>
        <v>34</v>
      </c>
      <c r="B41" s="874" t="s">
        <v>2426</v>
      </c>
      <c r="C41" s="287">
        <v>27.83</v>
      </c>
      <c r="D41" s="290">
        <v>1392.2</v>
      </c>
      <c r="E41" s="719">
        <f t="shared" si="0"/>
        <v>30.613</v>
      </c>
      <c r="F41" s="720">
        <f t="shared" si="11"/>
        <v>1531.42</v>
      </c>
      <c r="G41" s="721">
        <v>30.61</v>
      </c>
      <c r="H41" s="720">
        <v>1531.42</v>
      </c>
      <c r="I41" s="721">
        <f>G41</f>
        <v>30.61</v>
      </c>
      <c r="J41" s="720">
        <f>H41</f>
        <v>1531.42</v>
      </c>
      <c r="K41" s="721">
        <v>23.709</v>
      </c>
      <c r="L41" s="721">
        <v>1185.45</v>
      </c>
      <c r="M41" s="1560">
        <f>Q41</f>
        <v>26</v>
      </c>
      <c r="N41" s="1273">
        <f>TRUNC(M41*V41,2)</f>
        <v>1300</v>
      </c>
      <c r="O41" s="1184"/>
      <c r="P41" s="1174"/>
      <c r="Q41" s="721">
        <v>26</v>
      </c>
      <c r="R41" s="721">
        <v>23</v>
      </c>
      <c r="S41" s="721">
        <v>42.93</v>
      </c>
      <c r="T41" s="721">
        <f>AVERAGE(Q41:S41)</f>
        <v>30.643333333333334</v>
      </c>
      <c r="U41" s="1008">
        <f>(T41-I41)/I41</f>
        <v>1.0889687465970269E-3</v>
      </c>
      <c r="V41">
        <v>50</v>
      </c>
    </row>
    <row r="42" spans="1:23" ht="47.25">
      <c r="A42" s="992">
        <f>A41+1</f>
        <v>35</v>
      </c>
      <c r="B42" s="874" t="s">
        <v>2427</v>
      </c>
      <c r="C42" s="287">
        <v>33.08</v>
      </c>
      <c r="D42" s="290">
        <v>1654.87</v>
      </c>
      <c r="E42" s="719">
        <f t="shared" si="0"/>
        <v>36.387999999999998</v>
      </c>
      <c r="F42" s="720">
        <f t="shared" si="11"/>
        <v>1820.357</v>
      </c>
      <c r="G42" s="721">
        <v>36.39</v>
      </c>
      <c r="H42" s="721">
        <v>1820.36</v>
      </c>
      <c r="I42" s="721">
        <f t="shared" ref="I42:I52" si="25">G42</f>
        <v>36.39</v>
      </c>
      <c r="J42" s="720">
        <f t="shared" ref="J42:J52" si="26">H42</f>
        <v>1820.36</v>
      </c>
      <c r="K42" s="721">
        <v>25.9665</v>
      </c>
      <c r="L42" s="721">
        <v>1298.32</v>
      </c>
      <c r="M42" s="1560">
        <f t="shared" ref="M42:M43" si="27">Q42</f>
        <v>29</v>
      </c>
      <c r="N42" s="1273">
        <f t="shared" ref="N42:N54" si="28">TRUNC(M42*V42,2)</f>
        <v>1450</v>
      </c>
      <c r="O42" s="1184"/>
      <c r="P42" s="1174"/>
      <c r="Q42" s="721">
        <v>29</v>
      </c>
      <c r="R42" s="721">
        <v>25</v>
      </c>
      <c r="S42" s="721">
        <v>49.68</v>
      </c>
      <c r="T42" s="721">
        <f>AVERAGE(Q42:S42)</f>
        <v>34.56</v>
      </c>
      <c r="U42" s="1008">
        <f>(T42-I42)/I42</f>
        <v>-5.0288540807914214E-2</v>
      </c>
      <c r="V42">
        <v>50</v>
      </c>
    </row>
    <row r="43" spans="1:23" ht="47.25">
      <c r="A43" s="992">
        <f t="shared" ref="A43:A54" si="29">A42+1</f>
        <v>36</v>
      </c>
      <c r="B43" s="874" t="s">
        <v>2428</v>
      </c>
      <c r="C43" s="287">
        <v>35.18</v>
      </c>
      <c r="D43" s="290">
        <v>1759.95</v>
      </c>
      <c r="E43" s="719">
        <f t="shared" si="0"/>
        <v>38.698</v>
      </c>
      <c r="F43" s="720">
        <f t="shared" si="11"/>
        <v>1935.9450000000002</v>
      </c>
      <c r="G43" s="721">
        <v>38.700000000000003</v>
      </c>
      <c r="H43" s="721">
        <v>1935.95</v>
      </c>
      <c r="I43" s="721">
        <f t="shared" si="25"/>
        <v>38.700000000000003</v>
      </c>
      <c r="J43" s="720">
        <f t="shared" si="26"/>
        <v>1935.95</v>
      </c>
      <c r="K43" s="721">
        <v>28.224</v>
      </c>
      <c r="L43" s="721">
        <v>1411.2</v>
      </c>
      <c r="M43" s="1560">
        <f t="shared" si="27"/>
        <v>31</v>
      </c>
      <c r="N43" s="1273">
        <f t="shared" si="28"/>
        <v>1550</v>
      </c>
      <c r="O43" s="1184"/>
      <c r="P43" s="1174"/>
      <c r="Q43" s="721">
        <v>31</v>
      </c>
      <c r="R43" s="721">
        <v>28</v>
      </c>
      <c r="S43" s="721">
        <v>56.43</v>
      </c>
      <c r="T43" s="721">
        <f>AVERAGE(Q43:S43)</f>
        <v>38.476666666666667</v>
      </c>
      <c r="U43" s="1008">
        <f>(T43-I43)/I43</f>
        <v>-5.7708871662360793E-3</v>
      </c>
      <c r="V43">
        <v>50</v>
      </c>
    </row>
    <row r="44" spans="1:23" ht="47.25">
      <c r="A44" s="992">
        <f t="shared" si="29"/>
        <v>37</v>
      </c>
      <c r="B44" s="874" t="s">
        <v>2806</v>
      </c>
      <c r="C44" s="287"/>
      <c r="D44" s="290"/>
      <c r="E44" s="719"/>
      <c r="F44" s="720"/>
      <c r="G44" s="721"/>
      <c r="H44" s="721"/>
      <c r="I44" s="1393">
        <v>0</v>
      </c>
      <c r="J44" s="1393">
        <v>0</v>
      </c>
      <c r="K44" s="1393">
        <v>0</v>
      </c>
      <c r="L44" s="1393">
        <v>0</v>
      </c>
      <c r="M44" s="1560">
        <f>Q44+1</f>
        <v>37</v>
      </c>
      <c r="N44" s="1273">
        <f t="shared" si="28"/>
        <v>1850</v>
      </c>
      <c r="O44" s="1184"/>
      <c r="P44" s="1174">
        <f t="shared" ref="P44:P52" si="30">TRUNC(Q44*110%,2)</f>
        <v>39.6</v>
      </c>
      <c r="Q44" s="721">
        <v>36</v>
      </c>
      <c r="R44" s="721"/>
      <c r="S44" s="721">
        <v>49.28</v>
      </c>
      <c r="T44" s="721"/>
      <c r="U44" s="1008"/>
      <c r="V44" s="1391">
        <f>1/W44</f>
        <v>49.999999999999993</v>
      </c>
      <c r="W44">
        <f>0.2*0.1</f>
        <v>2.0000000000000004E-2</v>
      </c>
    </row>
    <row r="45" spans="1:23" ht="47.25">
      <c r="A45" s="992">
        <f t="shared" si="29"/>
        <v>38</v>
      </c>
      <c r="B45" s="874" t="s">
        <v>2808</v>
      </c>
      <c r="C45" s="287"/>
      <c r="D45" s="290"/>
      <c r="E45" s="719"/>
      <c r="F45" s="720"/>
      <c r="G45" s="721"/>
      <c r="H45" s="721"/>
      <c r="I45" s="1393">
        <v>0</v>
      </c>
      <c r="J45" s="1393">
        <v>0</v>
      </c>
      <c r="K45" s="1393">
        <v>0</v>
      </c>
      <c r="L45" s="1393">
        <v>0</v>
      </c>
      <c r="M45" s="1560">
        <f t="shared" ref="M45:M49" si="31">Q45+1</f>
        <v>44</v>
      </c>
      <c r="N45" s="1273">
        <f t="shared" si="28"/>
        <v>2200</v>
      </c>
      <c r="O45" s="1184"/>
      <c r="P45" s="1174">
        <f t="shared" si="30"/>
        <v>47.3</v>
      </c>
      <c r="Q45" s="721">
        <v>43</v>
      </c>
      <c r="R45" s="721"/>
      <c r="S45" s="721">
        <v>58.88</v>
      </c>
      <c r="T45" s="721"/>
      <c r="U45" s="1008"/>
      <c r="V45" s="1391">
        <f>V44</f>
        <v>49.999999999999993</v>
      </c>
    </row>
    <row r="46" spans="1:23" ht="47.25">
      <c r="A46" s="992">
        <f t="shared" si="29"/>
        <v>39</v>
      </c>
      <c r="B46" s="874" t="s">
        <v>2807</v>
      </c>
      <c r="C46" s="287"/>
      <c r="D46" s="290"/>
      <c r="E46" s="719"/>
      <c r="F46" s="720"/>
      <c r="G46" s="721"/>
      <c r="H46" s="721"/>
      <c r="I46" s="1393">
        <v>0</v>
      </c>
      <c r="J46" s="1393">
        <v>0</v>
      </c>
      <c r="K46" s="1393">
        <v>0</v>
      </c>
      <c r="L46" s="1393">
        <v>0</v>
      </c>
      <c r="M46" s="1560">
        <f t="shared" si="31"/>
        <v>48</v>
      </c>
      <c r="N46" s="1273">
        <f t="shared" si="28"/>
        <v>2400</v>
      </c>
      <c r="O46" s="1184"/>
      <c r="P46" s="1174">
        <f t="shared" si="30"/>
        <v>51.7</v>
      </c>
      <c r="Q46" s="721">
        <v>47</v>
      </c>
      <c r="R46" s="721"/>
      <c r="S46" s="721">
        <v>65.28</v>
      </c>
      <c r="T46" s="721"/>
      <c r="U46" s="1008"/>
      <c r="V46" s="1391">
        <f t="shared" ref="V46:V54" si="32">V45</f>
        <v>49.999999999999993</v>
      </c>
    </row>
    <row r="47" spans="1:23" ht="47.25">
      <c r="A47" s="992">
        <f t="shared" si="29"/>
        <v>40</v>
      </c>
      <c r="B47" s="874" t="s">
        <v>2809</v>
      </c>
      <c r="C47" s="287"/>
      <c r="D47" s="290"/>
      <c r="E47" s="719"/>
      <c r="F47" s="720"/>
      <c r="G47" s="721"/>
      <c r="H47" s="721"/>
      <c r="I47" s="1393">
        <v>0</v>
      </c>
      <c r="J47" s="1393">
        <v>0</v>
      </c>
      <c r="K47" s="1393">
        <v>0</v>
      </c>
      <c r="L47" s="1393">
        <v>0</v>
      </c>
      <c r="M47" s="1560">
        <f t="shared" si="31"/>
        <v>40</v>
      </c>
      <c r="N47" s="1273">
        <f t="shared" si="28"/>
        <v>2000</v>
      </c>
      <c r="O47" s="1184"/>
      <c r="P47" s="1174">
        <f t="shared" si="30"/>
        <v>42.9</v>
      </c>
      <c r="Q47" s="721">
        <v>39</v>
      </c>
      <c r="R47" s="721"/>
      <c r="S47" s="721">
        <v>58.52</v>
      </c>
      <c r="T47" s="721"/>
      <c r="U47" s="1008"/>
      <c r="V47" s="1391">
        <f t="shared" si="32"/>
        <v>49.999999999999993</v>
      </c>
    </row>
    <row r="48" spans="1:23" ht="47.25">
      <c r="A48" s="992">
        <f t="shared" si="29"/>
        <v>41</v>
      </c>
      <c r="B48" s="874" t="s">
        <v>2810</v>
      </c>
      <c r="C48" s="287"/>
      <c r="D48" s="290"/>
      <c r="E48" s="719"/>
      <c r="F48" s="720"/>
      <c r="G48" s="721"/>
      <c r="H48" s="721"/>
      <c r="I48" s="1393">
        <v>0</v>
      </c>
      <c r="J48" s="1393">
        <v>0</v>
      </c>
      <c r="K48" s="1393">
        <v>0</v>
      </c>
      <c r="L48" s="1393">
        <v>0</v>
      </c>
      <c r="M48" s="1560">
        <f t="shared" si="31"/>
        <v>48</v>
      </c>
      <c r="N48" s="1273">
        <f t="shared" si="28"/>
        <v>2400</v>
      </c>
      <c r="O48" s="1184"/>
      <c r="P48" s="1174">
        <f t="shared" si="30"/>
        <v>51.7</v>
      </c>
      <c r="Q48" s="721">
        <v>47</v>
      </c>
      <c r="R48" s="721"/>
      <c r="S48" s="721">
        <v>69.92</v>
      </c>
      <c r="T48" s="721"/>
      <c r="U48" s="1008"/>
      <c r="V48" s="1391">
        <f t="shared" si="32"/>
        <v>49.999999999999993</v>
      </c>
    </row>
    <row r="49" spans="1:22" ht="47.25">
      <c r="A49" s="992">
        <f t="shared" si="29"/>
        <v>42</v>
      </c>
      <c r="B49" s="874" t="s">
        <v>2811</v>
      </c>
      <c r="C49" s="287"/>
      <c r="D49" s="290"/>
      <c r="E49" s="719"/>
      <c r="F49" s="720"/>
      <c r="G49" s="721"/>
      <c r="H49" s="721"/>
      <c r="I49" s="1393">
        <v>0</v>
      </c>
      <c r="J49" s="1393">
        <v>0</v>
      </c>
      <c r="K49" s="1393">
        <v>0</v>
      </c>
      <c r="L49" s="1393">
        <v>0</v>
      </c>
      <c r="M49" s="1560">
        <f t="shared" si="31"/>
        <v>53</v>
      </c>
      <c r="N49" s="1273">
        <f t="shared" si="28"/>
        <v>2650</v>
      </c>
      <c r="O49" s="1184"/>
      <c r="P49" s="1174">
        <f t="shared" si="30"/>
        <v>57.2</v>
      </c>
      <c r="Q49" s="721">
        <v>52</v>
      </c>
      <c r="R49" s="721"/>
      <c r="S49" s="721">
        <v>77.52</v>
      </c>
      <c r="T49" s="721"/>
      <c r="U49" s="1008"/>
      <c r="V49" s="1391">
        <f t="shared" si="32"/>
        <v>49.999999999999993</v>
      </c>
    </row>
    <row r="50" spans="1:22" ht="47.25">
      <c r="A50" s="992">
        <f t="shared" si="29"/>
        <v>43</v>
      </c>
      <c r="B50" s="874" t="s">
        <v>2429</v>
      </c>
      <c r="C50" s="287">
        <v>64.2</v>
      </c>
      <c r="D50" s="290">
        <v>3212.18</v>
      </c>
      <c r="E50" s="719">
        <f t="shared" si="0"/>
        <v>70.62</v>
      </c>
      <c r="F50" s="720">
        <f t="shared" si="11"/>
        <v>3533.3980000000001</v>
      </c>
      <c r="G50" s="721">
        <v>70.62</v>
      </c>
      <c r="H50" s="721">
        <v>3533.4</v>
      </c>
      <c r="I50" s="721">
        <f t="shared" si="25"/>
        <v>70.62</v>
      </c>
      <c r="J50" s="721">
        <f t="shared" si="26"/>
        <v>3533.4</v>
      </c>
      <c r="K50" s="721">
        <v>66.601500000000001</v>
      </c>
      <c r="L50" s="721">
        <v>3330.07</v>
      </c>
      <c r="M50" s="1560">
        <f>Q50</f>
        <v>70</v>
      </c>
      <c r="N50" s="1273">
        <f t="shared" si="28"/>
        <v>3500</v>
      </c>
      <c r="O50" s="1184"/>
      <c r="P50" s="1174">
        <f>TRUNC(Q50*110%,2)</f>
        <v>77</v>
      </c>
      <c r="Q50" s="721">
        <v>70</v>
      </c>
      <c r="R50" s="188"/>
      <c r="S50" s="721">
        <v>91.18</v>
      </c>
      <c r="T50" s="721">
        <f>AVERAGE(Q50:S50)</f>
        <v>80.59</v>
      </c>
      <c r="U50" s="1008">
        <f>(T50-I50)/I50</f>
        <v>0.14117813650523928</v>
      </c>
      <c r="V50" s="1391">
        <f>V49</f>
        <v>49.999999999999993</v>
      </c>
    </row>
    <row r="51" spans="1:22" ht="47.25">
      <c r="A51" s="992">
        <f t="shared" si="29"/>
        <v>44</v>
      </c>
      <c r="B51" s="874" t="s">
        <v>2430</v>
      </c>
      <c r="C51" s="287">
        <v>70.89</v>
      </c>
      <c r="D51" s="290">
        <v>3546.79</v>
      </c>
      <c r="E51" s="719">
        <f t="shared" si="0"/>
        <v>77.979000000000013</v>
      </c>
      <c r="F51" s="720">
        <f t="shared" si="11"/>
        <v>3901.4690000000001</v>
      </c>
      <c r="G51" s="721">
        <v>77.98</v>
      </c>
      <c r="H51" s="721">
        <v>3901.47</v>
      </c>
      <c r="I51" s="721">
        <f t="shared" si="25"/>
        <v>77.98</v>
      </c>
      <c r="J51" s="720">
        <f t="shared" si="26"/>
        <v>3901.47</v>
      </c>
      <c r="K51" s="721">
        <v>73.542000000000016</v>
      </c>
      <c r="L51" s="721">
        <v>3677.1</v>
      </c>
      <c r="M51" s="1560">
        <f t="shared" ref="M51:M52" si="33">Q51</f>
        <v>78</v>
      </c>
      <c r="N51" s="1273">
        <f t="shared" si="28"/>
        <v>3900</v>
      </c>
      <c r="O51" s="1184"/>
      <c r="P51" s="1174">
        <f>TRUNC(Q51*110%,2)</f>
        <v>85.8</v>
      </c>
      <c r="Q51" s="721">
        <v>78</v>
      </c>
      <c r="R51" s="188"/>
      <c r="S51" s="721">
        <v>105.28</v>
      </c>
      <c r="T51" s="721">
        <f>AVERAGE(Q51:S51)</f>
        <v>91.64</v>
      </c>
      <c r="U51" s="1008">
        <f>(T51-I51)/I51</f>
        <v>0.17517312131315715</v>
      </c>
      <c r="V51" s="1391">
        <f t="shared" si="32"/>
        <v>49.999999999999993</v>
      </c>
    </row>
    <row r="52" spans="1:22" ht="47.25">
      <c r="A52" s="992">
        <f t="shared" si="29"/>
        <v>45</v>
      </c>
      <c r="B52" s="874" t="s">
        <v>2431</v>
      </c>
      <c r="C52" s="287">
        <v>73.56</v>
      </c>
      <c r="D52" s="290">
        <v>3680.63</v>
      </c>
      <c r="E52" s="719">
        <f t="shared" si="0"/>
        <v>80.916000000000011</v>
      </c>
      <c r="F52" s="720">
        <f t="shared" si="11"/>
        <v>4048.6930000000007</v>
      </c>
      <c r="G52" s="721">
        <v>80.92</v>
      </c>
      <c r="H52" s="721">
        <v>4048.69</v>
      </c>
      <c r="I52" s="721">
        <f t="shared" si="25"/>
        <v>80.92</v>
      </c>
      <c r="J52" s="720">
        <f t="shared" si="26"/>
        <v>4048.69</v>
      </c>
      <c r="K52" s="721">
        <v>76.314000000000007</v>
      </c>
      <c r="L52" s="721">
        <v>3815.7</v>
      </c>
      <c r="M52" s="1560">
        <f t="shared" si="33"/>
        <v>80</v>
      </c>
      <c r="N52" s="1273">
        <f t="shared" si="28"/>
        <v>4000</v>
      </c>
      <c r="O52" s="1184"/>
      <c r="P52" s="1174">
        <f t="shared" si="30"/>
        <v>88</v>
      </c>
      <c r="Q52" s="721">
        <v>80</v>
      </c>
      <c r="R52" s="188"/>
      <c r="S52" s="721">
        <v>109.98</v>
      </c>
      <c r="T52" s="721">
        <f>AVERAGE(Q52:S52)</f>
        <v>94.990000000000009</v>
      </c>
      <c r="U52" s="1008">
        <f>(T52-I52)/I52</f>
        <v>0.17387543252595164</v>
      </c>
      <c r="V52" s="1391">
        <f t="shared" si="32"/>
        <v>49.999999999999993</v>
      </c>
    </row>
    <row r="53" spans="1:22" ht="63">
      <c r="A53" s="992">
        <f t="shared" si="29"/>
        <v>46</v>
      </c>
      <c r="B53" s="874" t="s">
        <v>2528</v>
      </c>
      <c r="C53" s="287"/>
      <c r="D53" s="290"/>
      <c r="E53" s="719"/>
      <c r="F53" s="720"/>
      <c r="G53" s="1011" t="s">
        <v>2160</v>
      </c>
      <c r="H53" s="1011" t="s">
        <v>2160</v>
      </c>
      <c r="I53" s="1393">
        <v>0</v>
      </c>
      <c r="J53" s="1393">
        <v>0</v>
      </c>
      <c r="K53" s="721">
        <v>20.07</v>
      </c>
      <c r="L53" s="721">
        <v>1003.5</v>
      </c>
      <c r="M53" s="1560">
        <v>21</v>
      </c>
      <c r="N53" s="1273">
        <f t="shared" si="28"/>
        <v>1050</v>
      </c>
      <c r="O53" s="1184"/>
      <c r="P53" s="1173" t="s">
        <v>2527</v>
      </c>
      <c r="Q53" s="721"/>
      <c r="R53" s="188"/>
      <c r="S53" s="721"/>
      <c r="T53" s="721"/>
      <c r="U53" s="1008"/>
      <c r="V53" s="1391">
        <f t="shared" si="32"/>
        <v>49.999999999999993</v>
      </c>
    </row>
    <row r="54" spans="1:22" ht="63">
      <c r="A54" s="992">
        <f t="shared" si="29"/>
        <v>47</v>
      </c>
      <c r="B54" s="874" t="s">
        <v>2529</v>
      </c>
      <c r="C54" s="287"/>
      <c r="D54" s="290"/>
      <c r="E54" s="719"/>
      <c r="F54" s="720"/>
      <c r="G54" s="1011" t="s">
        <v>2160</v>
      </c>
      <c r="H54" s="1011" t="s">
        <v>2160</v>
      </c>
      <c r="I54" s="1393">
        <v>0</v>
      </c>
      <c r="J54" s="1393">
        <v>0</v>
      </c>
      <c r="K54" s="721">
        <v>25.13</v>
      </c>
      <c r="L54" s="721">
        <v>1256.5</v>
      </c>
      <c r="M54" s="1560">
        <v>26</v>
      </c>
      <c r="N54" s="1273">
        <f t="shared" si="28"/>
        <v>1300</v>
      </c>
      <c r="O54" s="1184"/>
      <c r="P54" s="1173" t="s">
        <v>2527</v>
      </c>
      <c r="Q54" s="721"/>
      <c r="R54" s="188"/>
      <c r="S54" s="721"/>
      <c r="T54" s="721"/>
      <c r="U54" s="1008"/>
      <c r="V54" s="1391">
        <f t="shared" si="32"/>
        <v>49.999999999999993</v>
      </c>
    </row>
    <row r="55" spans="1:22" s="642" customFormat="1" ht="25.5">
      <c r="A55" s="995"/>
      <c r="B55" s="759" t="s">
        <v>2229</v>
      </c>
      <c r="C55" s="762"/>
      <c r="D55" s="763"/>
      <c r="E55" s="761"/>
      <c r="F55" s="756"/>
      <c r="G55" s="758"/>
      <c r="H55" s="756"/>
      <c r="I55" s="758"/>
      <c r="J55" s="756"/>
      <c r="K55" s="758"/>
      <c r="L55" s="758"/>
      <c r="M55" s="758"/>
      <c r="N55" s="1194"/>
      <c r="O55" s="1182"/>
      <c r="P55" s="1173" t="str">
        <f>P40</f>
        <v>10% add Rup</v>
      </c>
      <c r="Q55" s="1006" t="s">
        <v>2322</v>
      </c>
      <c r="R55" s="1006" t="s">
        <v>2464</v>
      </c>
      <c r="S55" s="1006" t="s">
        <v>2468</v>
      </c>
      <c r="T55" s="1006" t="s">
        <v>2471</v>
      </c>
      <c r="U55" s="1008" t="e">
        <f t="shared" ref="U55:U62" si="34">(T55-I55)/I55</f>
        <v>#VALUE!</v>
      </c>
    </row>
    <row r="56" spans="1:22" ht="47.25">
      <c r="A56" s="992">
        <f>A54+1</f>
        <v>48</v>
      </c>
      <c r="B56" s="874" t="s">
        <v>2432</v>
      </c>
      <c r="C56" s="287">
        <v>31.5</v>
      </c>
      <c r="D56" s="290">
        <v>1159.51</v>
      </c>
      <c r="E56" s="719">
        <f t="shared" si="0"/>
        <v>34.650000000000006</v>
      </c>
      <c r="F56" s="720">
        <f t="shared" si="11"/>
        <v>1275.461</v>
      </c>
      <c r="G56" s="721">
        <v>34.650000000000006</v>
      </c>
      <c r="H56" s="720">
        <v>1275.461</v>
      </c>
      <c r="I56" s="721">
        <v>34.650000000000006</v>
      </c>
      <c r="J56" s="720">
        <v>1275.461</v>
      </c>
      <c r="K56" s="721">
        <v>41.454000000000001</v>
      </c>
      <c r="L56" s="721">
        <v>1525.5</v>
      </c>
      <c r="M56" s="1560">
        <f>Q56</f>
        <v>43</v>
      </c>
      <c r="N56" s="1273">
        <f t="shared" ref="N56:N61" si="35">TRUNC(M56*V56,2)</f>
        <v>1582.82</v>
      </c>
      <c r="O56" s="1184"/>
      <c r="P56" s="1174"/>
      <c r="Q56" s="721">
        <v>43</v>
      </c>
      <c r="R56" s="188"/>
      <c r="S56" s="721">
        <v>53.3</v>
      </c>
      <c r="T56" s="721">
        <f t="shared" ref="T56:T61" si="36">AVERAGE(Q56:S56)</f>
        <v>48.15</v>
      </c>
      <c r="U56" s="1008">
        <f t="shared" si="34"/>
        <v>0.38961038961038935</v>
      </c>
      <c r="V56">
        <f t="shared" ref="V56:V61" si="37">J56/I56</f>
        <v>36.809841269841264</v>
      </c>
    </row>
    <row r="57" spans="1:22" ht="47.25">
      <c r="A57" s="992">
        <f>A56+1</f>
        <v>49</v>
      </c>
      <c r="B57" s="874" t="s">
        <v>2433</v>
      </c>
      <c r="C57" s="287">
        <v>37.799999999999997</v>
      </c>
      <c r="D57" s="290">
        <v>1391.42</v>
      </c>
      <c r="E57" s="719">
        <f t="shared" si="0"/>
        <v>41.58</v>
      </c>
      <c r="F57" s="720">
        <f t="shared" si="11"/>
        <v>1530.5620000000001</v>
      </c>
      <c r="G57" s="721">
        <v>41.58</v>
      </c>
      <c r="H57" s="720">
        <v>1530.5620000000001</v>
      </c>
      <c r="I57" s="721">
        <v>41.58</v>
      </c>
      <c r="J57" s="720">
        <v>1530.5620000000001</v>
      </c>
      <c r="K57" s="721">
        <v>40.82</v>
      </c>
      <c r="L57" s="721">
        <v>1502.17</v>
      </c>
      <c r="M57" s="1560">
        <f t="shared" ref="M57:M61" si="38">Q57</f>
        <v>44</v>
      </c>
      <c r="N57" s="1273">
        <f t="shared" si="35"/>
        <v>1619.64</v>
      </c>
      <c r="O57" s="1184"/>
      <c r="P57" s="1174"/>
      <c r="Q57" s="721">
        <v>44</v>
      </c>
      <c r="R57" s="188"/>
      <c r="S57" s="721">
        <v>59.8</v>
      </c>
      <c r="T57" s="721">
        <f t="shared" si="36"/>
        <v>51.9</v>
      </c>
      <c r="U57" s="1008">
        <f t="shared" si="34"/>
        <v>0.24819624819624822</v>
      </c>
      <c r="V57">
        <f t="shared" si="37"/>
        <v>36.810052910052917</v>
      </c>
    </row>
    <row r="58" spans="1:22" ht="47.25">
      <c r="A58" s="992">
        <f t="shared" ref="A58:A61" si="39">A57+1</f>
        <v>50</v>
      </c>
      <c r="B58" s="874" t="s">
        <v>2434</v>
      </c>
      <c r="C58" s="287">
        <v>39.9</v>
      </c>
      <c r="D58" s="290">
        <v>1468.72</v>
      </c>
      <c r="E58" s="719">
        <f t="shared" si="0"/>
        <v>43.89</v>
      </c>
      <c r="F58" s="720">
        <f t="shared" si="11"/>
        <v>1615.5920000000001</v>
      </c>
      <c r="G58" s="721">
        <v>43.89</v>
      </c>
      <c r="H58" s="720">
        <v>1615.5920000000001</v>
      </c>
      <c r="I58" s="721">
        <v>43.89</v>
      </c>
      <c r="J58" s="720">
        <v>1615.5920000000001</v>
      </c>
      <c r="K58" s="721">
        <v>44.268000000000001</v>
      </c>
      <c r="L58" s="721">
        <v>1629.06</v>
      </c>
      <c r="M58" s="1560">
        <f t="shared" si="38"/>
        <v>47</v>
      </c>
      <c r="N58" s="1273">
        <f t="shared" si="35"/>
        <v>1730.07</v>
      </c>
      <c r="O58" s="1184"/>
      <c r="P58" s="1174"/>
      <c r="Q58" s="721">
        <v>47</v>
      </c>
      <c r="R58" s="188"/>
      <c r="S58" s="721">
        <v>63.05</v>
      </c>
      <c r="T58" s="721">
        <f t="shared" si="36"/>
        <v>55.024999999999999</v>
      </c>
      <c r="U58" s="1008">
        <f t="shared" si="34"/>
        <v>0.25370243791296421</v>
      </c>
      <c r="V58">
        <f t="shared" si="37"/>
        <v>36.810025062656642</v>
      </c>
    </row>
    <row r="59" spans="1:22" ht="47.25">
      <c r="A59" s="992">
        <f t="shared" si="39"/>
        <v>51</v>
      </c>
      <c r="B59" s="874" t="s">
        <v>2435</v>
      </c>
      <c r="C59" s="287">
        <v>46.2</v>
      </c>
      <c r="D59" s="290">
        <v>1700.62</v>
      </c>
      <c r="E59" s="719">
        <f t="shared" si="0"/>
        <v>50.820000000000007</v>
      </c>
      <c r="F59" s="720">
        <f t="shared" si="11"/>
        <v>1870.682</v>
      </c>
      <c r="G59" s="721">
        <v>50.820000000000007</v>
      </c>
      <c r="H59" s="720">
        <v>1870.682</v>
      </c>
      <c r="I59" s="721">
        <v>50.820000000000007</v>
      </c>
      <c r="J59" s="720">
        <v>1870.682</v>
      </c>
      <c r="K59" s="721">
        <v>51.124499999999998</v>
      </c>
      <c r="L59" s="721">
        <v>1881.38</v>
      </c>
      <c r="M59" s="1560">
        <f t="shared" si="38"/>
        <v>54</v>
      </c>
      <c r="N59" s="1273">
        <f t="shared" si="35"/>
        <v>1987.73</v>
      </c>
      <c r="O59" s="1184"/>
      <c r="P59" s="1174"/>
      <c r="Q59" s="721">
        <v>54</v>
      </c>
      <c r="R59" s="188"/>
      <c r="S59" s="721">
        <v>86.1</v>
      </c>
      <c r="T59" s="721">
        <f t="shared" si="36"/>
        <v>70.05</v>
      </c>
      <c r="U59" s="1008">
        <f t="shared" si="34"/>
        <v>0.37839433293978725</v>
      </c>
      <c r="V59">
        <f t="shared" si="37"/>
        <v>36.809956709956708</v>
      </c>
    </row>
    <row r="60" spans="1:22" ht="47.25">
      <c r="A60" s="992">
        <f t="shared" si="39"/>
        <v>52</v>
      </c>
      <c r="B60" s="874" t="s">
        <v>2437</v>
      </c>
      <c r="C60" s="287">
        <v>52.5</v>
      </c>
      <c r="D60" s="290">
        <v>1932.52</v>
      </c>
      <c r="E60" s="719">
        <f t="shared" si="0"/>
        <v>57.750000000000007</v>
      </c>
      <c r="F60" s="720">
        <f t="shared" si="11"/>
        <v>2125.7719999999999</v>
      </c>
      <c r="G60" s="721">
        <v>57.750000000000007</v>
      </c>
      <c r="H60" s="720">
        <v>2125.7719999999999</v>
      </c>
      <c r="I60" s="721">
        <v>57.750000000000007</v>
      </c>
      <c r="J60" s="720">
        <v>2125.7719999999999</v>
      </c>
      <c r="K60" s="721">
        <v>57.666000000000004</v>
      </c>
      <c r="L60" s="721">
        <v>2122.1</v>
      </c>
      <c r="M60" s="1560">
        <f t="shared" si="38"/>
        <v>61</v>
      </c>
      <c r="N60" s="1273">
        <f t="shared" si="35"/>
        <v>2245.4</v>
      </c>
      <c r="O60" s="1184"/>
      <c r="P60" s="1174"/>
      <c r="Q60" s="721">
        <v>61</v>
      </c>
      <c r="R60" s="188"/>
      <c r="S60" s="721">
        <v>96.6</v>
      </c>
      <c r="T60" s="721">
        <f t="shared" si="36"/>
        <v>78.8</v>
      </c>
      <c r="U60" s="1008">
        <f t="shared" si="34"/>
        <v>0.36450216450216427</v>
      </c>
      <c r="V60">
        <f t="shared" si="37"/>
        <v>36.809904761904754</v>
      </c>
    </row>
    <row r="61" spans="1:22" ht="47.25">
      <c r="A61" s="992">
        <f t="shared" si="39"/>
        <v>53</v>
      </c>
      <c r="B61" s="874" t="s">
        <v>2436</v>
      </c>
      <c r="C61" s="287">
        <v>54.6</v>
      </c>
      <c r="D61" s="290">
        <v>2009.82</v>
      </c>
      <c r="E61" s="719">
        <f t="shared" si="0"/>
        <v>60.060000000000009</v>
      </c>
      <c r="F61" s="720">
        <f t="shared" si="11"/>
        <v>2210.8020000000001</v>
      </c>
      <c r="G61" s="721">
        <v>60.060000000000009</v>
      </c>
      <c r="H61" s="720">
        <v>2210.8020000000001</v>
      </c>
      <c r="I61" s="721">
        <v>60.060000000000009</v>
      </c>
      <c r="J61" s="720">
        <v>2210.8020000000001</v>
      </c>
      <c r="K61" s="721">
        <v>60.164999999999999</v>
      </c>
      <c r="L61" s="721">
        <v>2214.0700000000002</v>
      </c>
      <c r="M61" s="1560">
        <f t="shared" si="38"/>
        <v>64</v>
      </c>
      <c r="N61" s="1273">
        <f t="shared" si="35"/>
        <v>2355.83</v>
      </c>
      <c r="O61" s="1184"/>
      <c r="P61" s="1174"/>
      <c r="Q61" s="721">
        <v>64</v>
      </c>
      <c r="R61" s="188"/>
      <c r="S61" s="721">
        <v>101.85</v>
      </c>
      <c r="T61" s="721">
        <f t="shared" si="36"/>
        <v>82.924999999999997</v>
      </c>
      <c r="U61" s="1008">
        <f t="shared" si="34"/>
        <v>0.38070263070263044</v>
      </c>
      <c r="V61">
        <f t="shared" si="37"/>
        <v>36.809890109890105</v>
      </c>
    </row>
    <row r="62" spans="1:22" ht="25.5">
      <c r="A62" s="995"/>
      <c r="B62" s="759" t="s">
        <v>2228</v>
      </c>
      <c r="C62" s="762"/>
      <c r="D62" s="763"/>
      <c r="E62" s="761"/>
      <c r="F62" s="756"/>
      <c r="G62" s="758"/>
      <c r="H62" s="756"/>
      <c r="I62" s="758"/>
      <c r="J62" s="756"/>
      <c r="K62" s="758"/>
      <c r="L62" s="758"/>
      <c r="M62" s="1194"/>
      <c r="N62" s="1194"/>
      <c r="O62" s="1182"/>
      <c r="P62" s="1173" t="str">
        <f>P55</f>
        <v>10% add Rup</v>
      </c>
      <c r="Q62" s="1006" t="s">
        <v>2322</v>
      </c>
      <c r="R62" s="1006" t="s">
        <v>2464</v>
      </c>
      <c r="S62" s="1006" t="s">
        <v>2468</v>
      </c>
      <c r="T62" s="1006" t="s">
        <v>2471</v>
      </c>
      <c r="U62" s="1008" t="e">
        <f t="shared" si="34"/>
        <v>#VALUE!</v>
      </c>
    </row>
    <row r="63" spans="1:22" ht="47.25">
      <c r="A63" s="992">
        <f>A61+1</f>
        <v>54</v>
      </c>
      <c r="B63" s="874" t="s">
        <v>2414</v>
      </c>
      <c r="C63" s="287">
        <v>32.549999999999997</v>
      </c>
      <c r="D63" s="290">
        <v>1127.77</v>
      </c>
      <c r="E63" s="719">
        <f t="shared" si="0"/>
        <v>35.805</v>
      </c>
      <c r="F63" s="720">
        <f t="shared" si="11"/>
        <v>1240.547</v>
      </c>
      <c r="G63" s="721">
        <v>35.805</v>
      </c>
      <c r="H63" s="720">
        <v>1240.547</v>
      </c>
      <c r="I63" s="721">
        <v>35.805</v>
      </c>
      <c r="J63" s="720">
        <v>1240.547</v>
      </c>
      <c r="K63" s="721">
        <v>36.161999999999999</v>
      </c>
      <c r="L63" s="721">
        <v>1252.6500000000001</v>
      </c>
      <c r="M63" s="1193">
        <f>Q63</f>
        <v>38</v>
      </c>
      <c r="N63" s="1273">
        <f t="shared" ref="N63:N65" si="40">TRUNC(M63*V63,2)</f>
        <v>1316.59</v>
      </c>
      <c r="O63" s="1185"/>
      <c r="P63" s="1174">
        <f>TRUNC(Q63*110%,2)</f>
        <v>41.8</v>
      </c>
      <c r="Q63" s="721">
        <v>38</v>
      </c>
      <c r="R63" s="188"/>
      <c r="S63" s="721">
        <v>53.6</v>
      </c>
      <c r="T63" s="721">
        <f>AVERAGE(Q63:S63)</f>
        <v>45.8</v>
      </c>
      <c r="U63" s="1008">
        <f>(T63-M63)/M63</f>
        <v>0.20526315789473676</v>
      </c>
      <c r="V63">
        <f>J63/I63</f>
        <v>34.64731182795699</v>
      </c>
    </row>
    <row r="64" spans="1:22" ht="47.25">
      <c r="A64" s="992">
        <f>A63+1</f>
        <v>55</v>
      </c>
      <c r="B64" s="874" t="s">
        <v>2415</v>
      </c>
      <c r="C64" s="287">
        <v>38.85</v>
      </c>
      <c r="D64" s="290">
        <v>1346.04</v>
      </c>
      <c r="E64" s="719">
        <f t="shared" si="0"/>
        <v>42.735000000000007</v>
      </c>
      <c r="F64" s="720">
        <f t="shared" si="11"/>
        <v>1480.644</v>
      </c>
      <c r="G64" s="721">
        <v>42.735000000000007</v>
      </c>
      <c r="H64" s="720">
        <v>1480.644</v>
      </c>
      <c r="I64" s="721">
        <v>42.735000000000007</v>
      </c>
      <c r="J64" s="720">
        <v>1480.644</v>
      </c>
      <c r="K64" s="721">
        <v>42.703500000000005</v>
      </c>
      <c r="L64" s="721">
        <v>1479.24</v>
      </c>
      <c r="M64" s="1193">
        <f t="shared" ref="M64:M65" si="41">Q64</f>
        <v>45</v>
      </c>
      <c r="N64" s="1273">
        <f t="shared" si="40"/>
        <v>1559.11</v>
      </c>
      <c r="O64" s="1184"/>
      <c r="P64" s="1174">
        <f t="shared" ref="P64:P75" si="42">TRUNC(Q64*110%,2)</f>
        <v>49.5</v>
      </c>
      <c r="Q64" s="721">
        <v>45</v>
      </c>
      <c r="R64" s="188"/>
      <c r="S64" s="721">
        <v>61.6</v>
      </c>
      <c r="T64" s="721">
        <f>AVERAGE(Q64:S64)</f>
        <v>53.3</v>
      </c>
      <c r="U64" s="1008">
        <f t="shared" ref="U64:U65" si="43">(T64-M64)/M64</f>
        <v>0.18444444444444438</v>
      </c>
      <c r="V64">
        <f>J64/I64</f>
        <v>34.647104247104245</v>
      </c>
    </row>
    <row r="65" spans="1:22" ht="47.25">
      <c r="A65" s="992">
        <f>A64+1</f>
        <v>56</v>
      </c>
      <c r="B65" s="874" t="s">
        <v>2416</v>
      </c>
      <c r="C65" s="287">
        <v>40.950000000000003</v>
      </c>
      <c r="D65" s="290">
        <v>1418.8</v>
      </c>
      <c r="E65" s="719">
        <f t="shared" si="0"/>
        <v>45.045000000000009</v>
      </c>
      <c r="F65" s="720">
        <f t="shared" si="11"/>
        <v>1560.68</v>
      </c>
      <c r="G65" s="721">
        <v>45.045000000000009</v>
      </c>
      <c r="H65" s="720">
        <v>1560.68</v>
      </c>
      <c r="I65" s="721">
        <v>45.045000000000009</v>
      </c>
      <c r="J65" s="720">
        <v>1560.68</v>
      </c>
      <c r="K65" s="721">
        <v>45.507000000000005</v>
      </c>
      <c r="L65" s="721">
        <v>1576.36</v>
      </c>
      <c r="M65" s="1193">
        <f t="shared" si="41"/>
        <v>48</v>
      </c>
      <c r="N65" s="1273">
        <f t="shared" si="40"/>
        <v>1663.06</v>
      </c>
      <c r="O65" s="1184"/>
      <c r="P65" s="1174">
        <f t="shared" si="42"/>
        <v>52.8</v>
      </c>
      <c r="Q65" s="721">
        <v>48</v>
      </c>
      <c r="R65" s="188"/>
      <c r="S65" s="721">
        <v>65.599999999999994</v>
      </c>
      <c r="T65" s="721">
        <f>AVERAGE(Q65:S65)</f>
        <v>56.8</v>
      </c>
      <c r="U65" s="1008">
        <f t="shared" si="43"/>
        <v>0.18333333333333326</v>
      </c>
      <c r="V65">
        <f>J65/I65</f>
        <v>34.647130647130645</v>
      </c>
    </row>
    <row r="66" spans="1:22" s="642" customFormat="1" ht="25.5">
      <c r="A66" s="995"/>
      <c r="B66" s="759" t="s">
        <v>2227</v>
      </c>
      <c r="C66" s="762"/>
      <c r="D66" s="763"/>
      <c r="E66" s="761"/>
      <c r="F66" s="756"/>
      <c r="G66" s="758"/>
      <c r="H66" s="756"/>
      <c r="I66" s="758"/>
      <c r="J66" s="756"/>
      <c r="K66" s="758"/>
      <c r="L66" s="758"/>
      <c r="M66" s="1194"/>
      <c r="N66" s="1194"/>
      <c r="O66" s="1182"/>
      <c r="P66" s="1173" t="str">
        <f>P62</f>
        <v>10% add Rup</v>
      </c>
      <c r="Q66" s="1006" t="s">
        <v>2322</v>
      </c>
      <c r="R66" s="1006" t="s">
        <v>2464</v>
      </c>
      <c r="S66" s="1006" t="s">
        <v>2468</v>
      </c>
      <c r="T66" s="1006" t="s">
        <v>2471</v>
      </c>
      <c r="U66" s="1008" t="e">
        <f t="shared" ref="U66:U75" si="44">(T66-I66)/I66</f>
        <v>#VALUE!</v>
      </c>
    </row>
    <row r="67" spans="1:22" ht="47.25">
      <c r="A67" s="992">
        <f>A65+1</f>
        <v>57</v>
      </c>
      <c r="B67" s="874" t="s">
        <v>2411</v>
      </c>
      <c r="C67" s="287">
        <v>46.2</v>
      </c>
      <c r="D67" s="290">
        <v>1824.9</v>
      </c>
      <c r="E67" s="719">
        <f t="shared" si="0"/>
        <v>50.820000000000007</v>
      </c>
      <c r="F67" s="720">
        <f t="shared" si="11"/>
        <v>2007.3900000000003</v>
      </c>
      <c r="G67" s="721">
        <v>50.820000000000007</v>
      </c>
      <c r="H67" s="721">
        <v>2007.3900000000003</v>
      </c>
      <c r="I67" s="721">
        <v>50.820000000000007</v>
      </c>
      <c r="J67" s="721">
        <v>2007.3900000000003</v>
      </c>
      <c r="K67" s="721">
        <v>50.820000000000007</v>
      </c>
      <c r="L67" s="721">
        <v>2007.3900000000003</v>
      </c>
      <c r="M67" s="1193">
        <f>Q67</f>
        <v>54</v>
      </c>
      <c r="N67" s="1273">
        <f t="shared" ref="N67:N74" si="45">TRUNC(M67*V67,2)</f>
        <v>2133</v>
      </c>
      <c r="O67" s="1184"/>
      <c r="P67" s="1174">
        <f t="shared" si="42"/>
        <v>59.4</v>
      </c>
      <c r="Q67" s="721">
        <v>54</v>
      </c>
      <c r="R67" s="188"/>
      <c r="S67" s="721">
        <v>70.84</v>
      </c>
      <c r="T67" s="721">
        <f t="shared" ref="T67:T75" si="46">AVERAGE(Q67:S67)</f>
        <v>62.42</v>
      </c>
      <c r="U67" s="1008">
        <f t="shared" si="44"/>
        <v>0.22825659189295538</v>
      </c>
      <c r="V67" s="1005">
        <f t="shared" ref="V67:V75" si="47">J67/I67</f>
        <v>39.5</v>
      </c>
    </row>
    <row r="68" spans="1:22" ht="47.25">
      <c r="A68" s="992">
        <f>A67+1</f>
        <v>58</v>
      </c>
      <c r="B68" s="874" t="s">
        <v>2412</v>
      </c>
      <c r="C68" s="287">
        <v>52.5</v>
      </c>
      <c r="D68" s="290">
        <v>2073.75</v>
      </c>
      <c r="E68" s="719">
        <f t="shared" si="0"/>
        <v>57.750000000000007</v>
      </c>
      <c r="F68" s="720">
        <f t="shared" si="11"/>
        <v>2281.125</v>
      </c>
      <c r="G68" s="721">
        <v>57.750000000000007</v>
      </c>
      <c r="H68" s="721">
        <v>2281.125</v>
      </c>
      <c r="I68" s="721">
        <v>57.750000000000007</v>
      </c>
      <c r="J68" s="721">
        <v>2281.125</v>
      </c>
      <c r="K68" s="721">
        <v>57.750000000000007</v>
      </c>
      <c r="L68" s="721">
        <v>2281.125</v>
      </c>
      <c r="M68" s="1193">
        <f t="shared" ref="M68:M75" si="48">Q68</f>
        <v>61</v>
      </c>
      <c r="N68" s="1273">
        <f t="shared" si="45"/>
        <v>2409.5</v>
      </c>
      <c r="O68" s="1184"/>
      <c r="P68" s="1174">
        <f t="shared" si="42"/>
        <v>67.099999999999994</v>
      </c>
      <c r="Q68" s="721">
        <v>61</v>
      </c>
      <c r="R68" s="188"/>
      <c r="S68" s="721">
        <v>80.040000000000006</v>
      </c>
      <c r="T68" s="721">
        <f t="shared" si="46"/>
        <v>70.52000000000001</v>
      </c>
      <c r="U68" s="1008">
        <f t="shared" si="44"/>
        <v>0.22112554112554114</v>
      </c>
      <c r="V68" s="1005">
        <f t="shared" si="47"/>
        <v>39.499999999999993</v>
      </c>
    </row>
    <row r="69" spans="1:22" ht="47.25">
      <c r="A69" s="992">
        <f t="shared" ref="A69:A77" si="49">A68+1</f>
        <v>59</v>
      </c>
      <c r="B69" s="874" t="s">
        <v>2413</v>
      </c>
      <c r="C69" s="287">
        <v>54.6</v>
      </c>
      <c r="D69" s="290">
        <v>2156.6999999999998</v>
      </c>
      <c r="E69" s="719">
        <f t="shared" si="0"/>
        <v>60.060000000000009</v>
      </c>
      <c r="F69" s="720">
        <f t="shared" si="11"/>
        <v>2372.37</v>
      </c>
      <c r="G69" s="721">
        <v>60.060000000000009</v>
      </c>
      <c r="H69" s="721">
        <v>2372.37</v>
      </c>
      <c r="I69" s="721">
        <v>60.060000000000009</v>
      </c>
      <c r="J69" s="721">
        <v>2372.37</v>
      </c>
      <c r="K69" s="721">
        <v>60.060000000000009</v>
      </c>
      <c r="L69" s="721">
        <v>2372.37</v>
      </c>
      <c r="M69" s="1193">
        <f t="shared" si="48"/>
        <v>64</v>
      </c>
      <c r="N69" s="1273">
        <f t="shared" si="45"/>
        <v>2528</v>
      </c>
      <c r="O69" s="1184"/>
      <c r="P69" s="1174">
        <f t="shared" si="42"/>
        <v>70.400000000000006</v>
      </c>
      <c r="Q69" s="721">
        <v>64</v>
      </c>
      <c r="R69" s="188"/>
      <c r="S69" s="721">
        <v>84.64</v>
      </c>
      <c r="T69" s="721">
        <f t="shared" si="46"/>
        <v>74.319999999999993</v>
      </c>
      <c r="U69" s="1008">
        <f t="shared" si="44"/>
        <v>0.23742923742923713</v>
      </c>
      <c r="V69" s="1005">
        <f t="shared" si="47"/>
        <v>39.499999999999993</v>
      </c>
    </row>
    <row r="70" spans="1:22" ht="47.25">
      <c r="A70" s="992">
        <f t="shared" si="49"/>
        <v>60</v>
      </c>
      <c r="B70" s="874" t="s">
        <v>2410</v>
      </c>
      <c r="C70" s="287">
        <v>81.319999999999993</v>
      </c>
      <c r="D70" s="290">
        <v>3232.14</v>
      </c>
      <c r="E70" s="719">
        <f t="shared" si="0"/>
        <v>89.451999999999998</v>
      </c>
      <c r="F70" s="720">
        <f t="shared" si="11"/>
        <v>3555.3540000000003</v>
      </c>
      <c r="G70" s="721">
        <v>89.451999999999998</v>
      </c>
      <c r="H70" s="721">
        <v>3555.3540000000003</v>
      </c>
      <c r="I70" s="721">
        <v>89.451999999999998</v>
      </c>
      <c r="J70" s="721">
        <v>3555.3540000000003</v>
      </c>
      <c r="K70" s="721">
        <v>89.451999999999998</v>
      </c>
      <c r="L70" s="721">
        <v>3555.3540000000003</v>
      </c>
      <c r="M70" s="1193">
        <f t="shared" si="48"/>
        <v>85</v>
      </c>
      <c r="N70" s="1273">
        <f t="shared" si="45"/>
        <v>3378.4</v>
      </c>
      <c r="O70" s="1184"/>
      <c r="P70" s="1174">
        <f t="shared" si="42"/>
        <v>93.5</v>
      </c>
      <c r="Q70" s="721">
        <v>85</v>
      </c>
      <c r="R70" s="188"/>
      <c r="S70" s="721">
        <v>118.32</v>
      </c>
      <c r="T70" s="721">
        <f t="shared" si="46"/>
        <v>101.66</v>
      </c>
      <c r="U70" s="1008">
        <f t="shared" si="44"/>
        <v>0.13647542816258998</v>
      </c>
      <c r="V70" s="1005">
        <f t="shared" si="47"/>
        <v>39.745941957697987</v>
      </c>
    </row>
    <row r="71" spans="1:22" ht="47.25">
      <c r="A71" s="992">
        <f t="shared" si="49"/>
        <v>61</v>
      </c>
      <c r="B71" s="874" t="s">
        <v>2409</v>
      </c>
      <c r="C71" s="287">
        <v>89.79</v>
      </c>
      <c r="D71" s="290">
        <v>3546.56</v>
      </c>
      <c r="E71" s="719">
        <f t="shared" si="0"/>
        <v>98.76900000000002</v>
      </c>
      <c r="F71" s="720">
        <f t="shared" si="11"/>
        <v>3901.2160000000003</v>
      </c>
      <c r="G71" s="721">
        <v>98.76900000000002</v>
      </c>
      <c r="H71" s="721">
        <v>3901.2160000000003</v>
      </c>
      <c r="I71" s="721">
        <v>98.76900000000002</v>
      </c>
      <c r="J71" s="721">
        <v>3901.2160000000003</v>
      </c>
      <c r="K71" s="721">
        <v>98.76900000000002</v>
      </c>
      <c r="L71" s="721">
        <v>3901.2160000000003</v>
      </c>
      <c r="M71" s="1193">
        <f t="shared" si="48"/>
        <v>94</v>
      </c>
      <c r="N71" s="1273">
        <f t="shared" si="45"/>
        <v>3712.84</v>
      </c>
      <c r="O71" s="1184"/>
      <c r="P71" s="1174">
        <f t="shared" si="42"/>
        <v>103.4</v>
      </c>
      <c r="Q71" s="721">
        <v>94</v>
      </c>
      <c r="R71" s="188"/>
      <c r="S71" s="721">
        <v>135.72</v>
      </c>
      <c r="T71" s="721">
        <f t="shared" si="46"/>
        <v>114.86</v>
      </c>
      <c r="U71" s="1008">
        <f t="shared" si="44"/>
        <v>0.16291548967793515</v>
      </c>
      <c r="V71" s="1005">
        <f t="shared" si="47"/>
        <v>39.498385120837504</v>
      </c>
    </row>
    <row r="72" spans="1:22" ht="47.25">
      <c r="A72" s="992">
        <f>A71+1</f>
        <v>62</v>
      </c>
      <c r="B72" s="874" t="s">
        <v>2469</v>
      </c>
      <c r="C72" s="287">
        <v>93.18</v>
      </c>
      <c r="D72" s="290">
        <v>3680.75</v>
      </c>
      <c r="E72" s="719">
        <f>C72*1.1</f>
        <v>102.49800000000002</v>
      </c>
      <c r="F72" s="720">
        <f>D72*1.1</f>
        <v>4048.8250000000003</v>
      </c>
      <c r="G72" s="721">
        <v>102.49800000000002</v>
      </c>
      <c r="H72" s="721">
        <v>4048.8250000000003</v>
      </c>
      <c r="I72" s="721">
        <v>102.49800000000002</v>
      </c>
      <c r="J72" s="721">
        <v>4048.8250000000003</v>
      </c>
      <c r="K72" s="721">
        <v>102.49800000000002</v>
      </c>
      <c r="L72" s="721">
        <v>4048.8250000000003</v>
      </c>
      <c r="M72" s="1193">
        <f t="shared" si="48"/>
        <v>98</v>
      </c>
      <c r="N72" s="1273">
        <f t="shared" si="45"/>
        <v>3871.14</v>
      </c>
      <c r="O72" s="1184"/>
      <c r="P72" s="1174">
        <f t="shared" si="42"/>
        <v>107.8</v>
      </c>
      <c r="Q72" s="721">
        <v>98</v>
      </c>
      <c r="R72" s="188"/>
      <c r="S72" s="721">
        <v>141.52000000000001</v>
      </c>
      <c r="T72" s="721">
        <f t="shared" si="46"/>
        <v>119.76</v>
      </c>
      <c r="U72" s="1008">
        <f t="shared" si="44"/>
        <v>0.16841304220570141</v>
      </c>
      <c r="V72" s="1005">
        <f t="shared" si="47"/>
        <v>39.501502468340838</v>
      </c>
    </row>
    <row r="73" spans="1:22" ht="47.25">
      <c r="A73" s="992">
        <f>A72+1</f>
        <v>63</v>
      </c>
      <c r="B73" s="874" t="s">
        <v>2470</v>
      </c>
      <c r="C73" s="287"/>
      <c r="D73" s="290"/>
      <c r="E73" s="752" t="s">
        <v>2160</v>
      </c>
      <c r="F73" s="752" t="s">
        <v>2160</v>
      </c>
      <c r="G73" s="721">
        <v>125.5</v>
      </c>
      <c r="H73" s="721">
        <v>4957.2299999999996</v>
      </c>
      <c r="I73" s="721">
        <v>125.5</v>
      </c>
      <c r="J73" s="721">
        <v>4957.2299999999996</v>
      </c>
      <c r="K73" s="721">
        <v>125.5</v>
      </c>
      <c r="L73" s="721">
        <v>4957.2299999999996</v>
      </c>
      <c r="M73" s="1193">
        <f t="shared" si="48"/>
        <v>125</v>
      </c>
      <c r="N73" s="1273">
        <f t="shared" si="45"/>
        <v>4937.4799999999996</v>
      </c>
      <c r="O73" s="1184"/>
      <c r="P73" s="1174">
        <f t="shared" si="42"/>
        <v>137.5</v>
      </c>
      <c r="Q73" s="721">
        <v>125</v>
      </c>
      <c r="R73" s="188"/>
      <c r="S73" s="721">
        <v>142.80000000000001</v>
      </c>
      <c r="T73" s="721">
        <f t="shared" si="46"/>
        <v>133.9</v>
      </c>
      <c r="U73" s="1008">
        <f t="shared" si="44"/>
        <v>6.6932270916334705E-2</v>
      </c>
      <c r="V73" s="1005">
        <f t="shared" si="47"/>
        <v>39.499840637450198</v>
      </c>
    </row>
    <row r="74" spans="1:22" ht="47.25">
      <c r="A74" s="992">
        <f t="shared" si="49"/>
        <v>64</v>
      </c>
      <c r="B74" s="874" t="s">
        <v>2408</v>
      </c>
      <c r="C74" s="287"/>
      <c r="D74" s="290"/>
      <c r="E74" s="752" t="s">
        <v>2160</v>
      </c>
      <c r="F74" s="752" t="s">
        <v>2160</v>
      </c>
      <c r="G74" s="721">
        <v>135.5</v>
      </c>
      <c r="H74" s="721">
        <v>5352.23</v>
      </c>
      <c r="I74" s="721">
        <v>135.5</v>
      </c>
      <c r="J74" s="721">
        <v>5352.23</v>
      </c>
      <c r="K74" s="721">
        <v>135.5</v>
      </c>
      <c r="L74" s="721">
        <v>5352.23</v>
      </c>
      <c r="M74" s="1193">
        <f t="shared" si="48"/>
        <v>135</v>
      </c>
      <c r="N74" s="1273">
        <f t="shared" si="45"/>
        <v>5332.48</v>
      </c>
      <c r="O74" s="1184"/>
      <c r="P74" s="1174">
        <f t="shared" si="42"/>
        <v>148.5</v>
      </c>
      <c r="Q74" s="721">
        <v>135</v>
      </c>
      <c r="R74" s="188"/>
      <c r="S74" s="721">
        <v>163.80000000000001</v>
      </c>
      <c r="T74" s="721">
        <f t="shared" si="46"/>
        <v>149.4</v>
      </c>
      <c r="U74" s="1008">
        <f t="shared" si="44"/>
        <v>0.10258302583025834</v>
      </c>
      <c r="V74" s="1005">
        <f t="shared" si="47"/>
        <v>39.499852398523984</v>
      </c>
    </row>
    <row r="75" spans="1:22" ht="47.25">
      <c r="A75" s="992">
        <f t="shared" si="49"/>
        <v>65</v>
      </c>
      <c r="B75" s="874" t="s">
        <v>2407</v>
      </c>
      <c r="C75" s="287"/>
      <c r="D75" s="290"/>
      <c r="E75" s="752" t="s">
        <v>2160</v>
      </c>
      <c r="F75" s="752" t="s">
        <v>2160</v>
      </c>
      <c r="G75" s="721">
        <v>146.5</v>
      </c>
      <c r="H75" s="721">
        <v>5786.73</v>
      </c>
      <c r="I75" s="721">
        <v>146.5</v>
      </c>
      <c r="J75" s="721">
        <v>5786.73</v>
      </c>
      <c r="K75" s="721">
        <v>146.5</v>
      </c>
      <c r="L75" s="721">
        <v>5786.73</v>
      </c>
      <c r="M75" s="1193">
        <f t="shared" si="48"/>
        <v>145</v>
      </c>
      <c r="N75" s="1273">
        <f>TRUNC(M75*V75,2)</f>
        <v>5727.48</v>
      </c>
      <c r="O75" s="1184"/>
      <c r="P75" s="1174">
        <f t="shared" si="42"/>
        <v>159.5</v>
      </c>
      <c r="Q75" s="721">
        <v>145</v>
      </c>
      <c r="R75" s="188"/>
      <c r="S75" s="721">
        <v>170.8</v>
      </c>
      <c r="T75" s="721">
        <f t="shared" si="46"/>
        <v>157.9</v>
      </c>
      <c r="U75" s="1008">
        <f t="shared" si="44"/>
        <v>7.7815699658703108E-2</v>
      </c>
      <c r="V75" s="1005">
        <f t="shared" si="47"/>
        <v>39.499863481228665</v>
      </c>
    </row>
    <row r="76" spans="1:22" ht="49.9" customHeight="1">
      <c r="A76" s="992">
        <f t="shared" si="49"/>
        <v>66</v>
      </c>
      <c r="B76" s="874" t="s">
        <v>2530</v>
      </c>
      <c r="C76" s="287"/>
      <c r="D76" s="290"/>
      <c r="E76" s="752"/>
      <c r="F76" s="752"/>
      <c r="G76" s="1011" t="s">
        <v>2160</v>
      </c>
      <c r="H76" s="1011" t="s">
        <v>2160</v>
      </c>
      <c r="I76" s="1393">
        <v>0</v>
      </c>
      <c r="J76" s="1393">
        <v>0</v>
      </c>
      <c r="K76" s="721">
        <v>24</v>
      </c>
      <c r="L76" s="721">
        <v>935.28</v>
      </c>
      <c r="M76" s="1193">
        <f>K76</f>
        <v>24</v>
      </c>
      <c r="N76" s="1193">
        <f>TRUNC(M76*V76,2)</f>
        <v>935.28</v>
      </c>
      <c r="O76" s="1184"/>
      <c r="P76" s="1173" t="s">
        <v>2527</v>
      </c>
      <c r="Q76" s="188"/>
      <c r="R76" s="188"/>
      <c r="S76" s="721"/>
      <c r="T76" s="721"/>
      <c r="U76" s="1008"/>
      <c r="V76" s="1005">
        <f>L76/K76</f>
        <v>38.97</v>
      </c>
    </row>
    <row r="77" spans="1:22" ht="55.15" customHeight="1">
      <c r="A77" s="992">
        <f t="shared" si="49"/>
        <v>67</v>
      </c>
      <c r="B77" s="874" t="s">
        <v>2531</v>
      </c>
      <c r="C77" s="287"/>
      <c r="D77" s="290"/>
      <c r="E77" s="752"/>
      <c r="F77" s="752"/>
      <c r="G77" s="1011" t="s">
        <v>2160</v>
      </c>
      <c r="H77" s="1011" t="s">
        <v>2160</v>
      </c>
      <c r="I77" s="1393">
        <v>0</v>
      </c>
      <c r="J77" s="1393">
        <v>0</v>
      </c>
      <c r="K77" s="721">
        <v>29.05</v>
      </c>
      <c r="L77" s="721">
        <v>1132.07</v>
      </c>
      <c r="M77" s="1193">
        <f>K77</f>
        <v>29.05</v>
      </c>
      <c r="N77" s="1193">
        <f>TRUNC(M77*V77,2)</f>
        <v>1132.07</v>
      </c>
      <c r="O77" s="1184"/>
      <c r="P77" s="1173" t="s">
        <v>2527</v>
      </c>
      <c r="Q77" s="188"/>
      <c r="R77" s="188"/>
      <c r="S77" s="721"/>
      <c r="T77" s="721"/>
      <c r="U77" s="1008"/>
      <c r="V77" s="1005">
        <f>L77/K77</f>
        <v>38.9697074010327</v>
      </c>
    </row>
    <row r="78" spans="1:22" s="642" customFormat="1" ht="25.5">
      <c r="A78" s="995"/>
      <c r="B78" s="759" t="s">
        <v>2226</v>
      </c>
      <c r="C78" s="762"/>
      <c r="D78" s="763"/>
      <c r="E78" s="764"/>
      <c r="F78" s="764"/>
      <c r="G78" s="758"/>
      <c r="H78" s="758"/>
      <c r="I78" s="758"/>
      <c r="J78" s="758"/>
      <c r="K78" s="758"/>
      <c r="L78" s="758"/>
      <c r="M78" s="1194"/>
      <c r="N78" s="1194"/>
      <c r="O78" s="1182"/>
      <c r="P78" s="1173" t="str">
        <f>P66</f>
        <v>10% add Rup</v>
      </c>
      <c r="Q78" s="1006" t="s">
        <v>2322</v>
      </c>
      <c r="R78" s="1006" t="s">
        <v>2464</v>
      </c>
      <c r="S78" s="1006" t="s">
        <v>2468</v>
      </c>
      <c r="T78" s="1006" t="s">
        <v>2471</v>
      </c>
      <c r="U78" s="1008" t="e">
        <f t="shared" ref="U78:U92" si="50">(T78-I78)/I78</f>
        <v>#VALUE!</v>
      </c>
      <c r="V78" s="1005" t="e">
        <f t="shared" ref="V78:V91" si="51">J78/I78</f>
        <v>#DIV/0!</v>
      </c>
    </row>
    <row r="79" spans="1:22" ht="47.25">
      <c r="A79" s="992">
        <f>A77+1</f>
        <v>68</v>
      </c>
      <c r="B79" s="874" t="s">
        <v>2406</v>
      </c>
      <c r="C79" s="287">
        <v>42</v>
      </c>
      <c r="D79" s="290">
        <v>1239.6199999999999</v>
      </c>
      <c r="E79" s="719">
        <f t="shared" si="0"/>
        <v>46.2</v>
      </c>
      <c r="F79" s="720">
        <f t="shared" si="11"/>
        <v>1363.5819999999999</v>
      </c>
      <c r="G79" s="721">
        <v>46.2</v>
      </c>
      <c r="H79" s="721">
        <v>1363.5819999999999</v>
      </c>
      <c r="I79" s="721">
        <v>46.2</v>
      </c>
      <c r="J79" s="721">
        <v>1363.5819999999999</v>
      </c>
      <c r="K79" s="721">
        <v>46.2</v>
      </c>
      <c r="L79" s="721">
        <v>1363.5819999999999</v>
      </c>
      <c r="M79" s="1193">
        <f>Q79</f>
        <v>49</v>
      </c>
      <c r="N79" s="1273">
        <f t="shared" ref="N79:N81" si="52">TRUNC(M79*V79,2)</f>
        <v>1446.22</v>
      </c>
      <c r="O79" s="1185"/>
      <c r="P79" s="1174">
        <f t="shared" ref="P79:P81" si="53">TRUNC(Q79*110%,2)</f>
        <v>53.9</v>
      </c>
      <c r="Q79" s="721">
        <v>49</v>
      </c>
      <c r="R79" s="188"/>
      <c r="S79" s="721">
        <v>69.3</v>
      </c>
      <c r="T79" s="721">
        <f>AVERAGE(Q79:S79)</f>
        <v>59.15</v>
      </c>
      <c r="U79" s="1008">
        <f t="shared" si="50"/>
        <v>0.28030303030303022</v>
      </c>
      <c r="V79" s="1005">
        <f t="shared" si="51"/>
        <v>29.514761904761901</v>
      </c>
    </row>
    <row r="80" spans="1:22" ht="47.25">
      <c r="A80" s="992">
        <f>A79+1</f>
        <v>69</v>
      </c>
      <c r="B80" s="874" t="s">
        <v>2404</v>
      </c>
      <c r="C80" s="287">
        <v>48.3</v>
      </c>
      <c r="D80" s="290">
        <v>1425.56</v>
      </c>
      <c r="E80" s="719">
        <f t="shared" si="0"/>
        <v>53.13</v>
      </c>
      <c r="F80" s="720">
        <f t="shared" si="11"/>
        <v>1568.116</v>
      </c>
      <c r="G80" s="721">
        <v>53.13</v>
      </c>
      <c r="H80" s="721">
        <v>1568.116</v>
      </c>
      <c r="I80" s="721">
        <v>53.13</v>
      </c>
      <c r="J80" s="721">
        <v>1568.116</v>
      </c>
      <c r="K80" s="721">
        <v>53.13</v>
      </c>
      <c r="L80" s="721">
        <v>1568.116</v>
      </c>
      <c r="M80" s="1193">
        <f t="shared" ref="M80:M81" si="54">Q80</f>
        <v>56</v>
      </c>
      <c r="N80" s="1273">
        <f t="shared" si="52"/>
        <v>1652.82</v>
      </c>
      <c r="O80" s="1184"/>
      <c r="P80" s="1174">
        <f t="shared" si="53"/>
        <v>61.6</v>
      </c>
      <c r="Q80" s="721">
        <v>56</v>
      </c>
      <c r="R80" s="188"/>
      <c r="S80" s="721">
        <v>78.3</v>
      </c>
      <c r="T80" s="721">
        <f>AVERAGE(Q80:S80)</f>
        <v>67.150000000000006</v>
      </c>
      <c r="U80" s="1008">
        <f t="shared" si="50"/>
        <v>0.2638810464897422</v>
      </c>
      <c r="V80" s="1005">
        <f t="shared" si="51"/>
        <v>29.514699792960659</v>
      </c>
    </row>
    <row r="81" spans="1:22" ht="47.25">
      <c r="A81" s="992">
        <f>A80+1</f>
        <v>70</v>
      </c>
      <c r="B81" s="874" t="s">
        <v>2405</v>
      </c>
      <c r="C81" s="287">
        <v>50.4</v>
      </c>
      <c r="D81" s="290">
        <v>1487.54</v>
      </c>
      <c r="E81" s="719">
        <f t="shared" si="0"/>
        <v>55.440000000000005</v>
      </c>
      <c r="F81" s="720">
        <f t="shared" si="11"/>
        <v>1636.2940000000001</v>
      </c>
      <c r="G81" s="721">
        <v>55.440000000000005</v>
      </c>
      <c r="H81" s="721">
        <v>1636.2940000000001</v>
      </c>
      <c r="I81" s="721">
        <v>55.440000000000005</v>
      </c>
      <c r="J81" s="721">
        <v>1636.2940000000001</v>
      </c>
      <c r="K81" s="721">
        <v>55.440000000000005</v>
      </c>
      <c r="L81" s="721">
        <v>1636.2940000000001</v>
      </c>
      <c r="M81" s="1193">
        <f t="shared" si="54"/>
        <v>59</v>
      </c>
      <c r="N81" s="1273">
        <f t="shared" si="52"/>
        <v>1741.36</v>
      </c>
      <c r="O81" s="1184"/>
      <c r="P81" s="1174">
        <f t="shared" si="53"/>
        <v>64.900000000000006</v>
      </c>
      <c r="Q81" s="721">
        <v>59</v>
      </c>
      <c r="R81" s="188"/>
      <c r="S81" s="721">
        <v>87.3</v>
      </c>
      <c r="T81" s="721">
        <f>AVERAGE(Q81:S81)</f>
        <v>73.150000000000006</v>
      </c>
      <c r="U81" s="1008">
        <f t="shared" si="50"/>
        <v>0.31944444444444442</v>
      </c>
      <c r="V81" s="1005">
        <f t="shared" si="51"/>
        <v>29.514682539682539</v>
      </c>
    </row>
    <row r="82" spans="1:22" s="642" customFormat="1" ht="25.5">
      <c r="A82" s="995"/>
      <c r="B82" s="759" t="s">
        <v>2225</v>
      </c>
      <c r="C82" s="762"/>
      <c r="D82" s="763"/>
      <c r="E82" s="761"/>
      <c r="F82" s="756"/>
      <c r="G82" s="758"/>
      <c r="H82" s="758"/>
      <c r="I82" s="758"/>
      <c r="J82" s="758"/>
      <c r="K82" s="758"/>
      <c r="L82" s="758"/>
      <c r="M82" s="1194"/>
      <c r="N82" s="1194"/>
      <c r="O82" s="1182"/>
      <c r="P82" s="1173" t="str">
        <f>P78</f>
        <v>10% add Rup</v>
      </c>
      <c r="Q82" s="1006" t="s">
        <v>2322</v>
      </c>
      <c r="R82" s="1006" t="s">
        <v>2464</v>
      </c>
      <c r="S82" s="1006" t="s">
        <v>2468</v>
      </c>
      <c r="T82" s="1006" t="s">
        <v>2471</v>
      </c>
      <c r="U82" s="1008" t="e">
        <f t="shared" si="50"/>
        <v>#VALUE!</v>
      </c>
      <c r="V82" s="1005" t="e">
        <f t="shared" si="51"/>
        <v>#DIV/0!</v>
      </c>
    </row>
    <row r="83" spans="1:22" ht="47.25">
      <c r="A83" s="992">
        <f>A81+1</f>
        <v>71</v>
      </c>
      <c r="B83" s="874" t="s">
        <v>2402</v>
      </c>
      <c r="C83" s="286"/>
      <c r="D83" s="286"/>
      <c r="E83" s="752" t="s">
        <v>2160</v>
      </c>
      <c r="F83" s="752" t="s">
        <v>2160</v>
      </c>
      <c r="G83" s="721">
        <v>65.33</v>
      </c>
      <c r="H83" s="721">
        <v>1632.83</v>
      </c>
      <c r="I83" s="721">
        <v>65.33</v>
      </c>
      <c r="J83" s="721">
        <v>1632.83</v>
      </c>
      <c r="K83" s="721">
        <v>65.33</v>
      </c>
      <c r="L83" s="721">
        <v>1632.83</v>
      </c>
      <c r="M83" s="1193">
        <v>62</v>
      </c>
      <c r="N83" s="1273">
        <f t="shared" ref="N83:N88" si="55">TRUNC(M83*V83,2)</f>
        <v>1549.6</v>
      </c>
      <c r="O83" s="1184" t="s">
        <v>2926</v>
      </c>
      <c r="P83" s="1174">
        <f t="shared" ref="P83:P88" si="56">TRUNC(Q83*110%,2)</f>
        <v>66</v>
      </c>
      <c r="Q83" s="721">
        <v>60</v>
      </c>
      <c r="R83" s="188"/>
      <c r="S83" s="721">
        <v>80.55</v>
      </c>
      <c r="T83" s="721">
        <f t="shared" ref="T83:T88" si="57">AVERAGE(Q83:S83)</f>
        <v>70.275000000000006</v>
      </c>
      <c r="U83" s="1008">
        <f t="shared" si="50"/>
        <v>7.569263737945825E-2</v>
      </c>
      <c r="V83" s="1005">
        <f t="shared" si="51"/>
        <v>24.993571100566356</v>
      </c>
    </row>
    <row r="84" spans="1:22" ht="47.25">
      <c r="A84" s="992">
        <f>A83+1</f>
        <v>72</v>
      </c>
      <c r="B84" s="874" t="s">
        <v>2403</v>
      </c>
      <c r="C84" s="286"/>
      <c r="D84" s="286"/>
      <c r="E84" s="752" t="s">
        <v>2160</v>
      </c>
      <c r="F84" s="752" t="s">
        <v>2160</v>
      </c>
      <c r="G84" s="721">
        <v>79.36</v>
      </c>
      <c r="H84" s="721">
        <v>1983.61</v>
      </c>
      <c r="I84" s="721">
        <v>79.36</v>
      </c>
      <c r="J84" s="721">
        <v>1983.61</v>
      </c>
      <c r="K84" s="721">
        <v>79.36</v>
      </c>
      <c r="L84" s="721">
        <v>1983.61</v>
      </c>
      <c r="M84" s="1193">
        <v>69</v>
      </c>
      <c r="N84" s="1273">
        <f t="shared" si="55"/>
        <v>1724.66</v>
      </c>
      <c r="O84" s="1184"/>
      <c r="P84" s="1174">
        <f t="shared" si="56"/>
        <v>73.7</v>
      </c>
      <c r="Q84" s="721">
        <v>67</v>
      </c>
      <c r="R84" s="188"/>
      <c r="S84" s="721">
        <v>91.8</v>
      </c>
      <c r="T84" s="721">
        <f t="shared" si="57"/>
        <v>79.400000000000006</v>
      </c>
      <c r="U84" s="1008">
        <f t="shared" si="50"/>
        <v>5.0403225806459494E-4</v>
      </c>
      <c r="V84" s="1005">
        <f t="shared" si="51"/>
        <v>24.995085685483868</v>
      </c>
    </row>
    <row r="85" spans="1:22" ht="47.25">
      <c r="A85" s="992">
        <f t="shared" ref="A85:A88" si="58">A84+1</f>
        <v>73</v>
      </c>
      <c r="B85" s="874" t="s">
        <v>2398</v>
      </c>
      <c r="C85" s="286"/>
      <c r="D85" s="286"/>
      <c r="E85" s="752" t="s">
        <v>2160</v>
      </c>
      <c r="F85" s="752" t="s">
        <v>2160</v>
      </c>
      <c r="G85" s="721">
        <v>101.35</v>
      </c>
      <c r="H85" s="721">
        <v>2533.41</v>
      </c>
      <c r="I85" s="721">
        <v>101.35</v>
      </c>
      <c r="J85" s="721">
        <v>2533.41</v>
      </c>
      <c r="K85" s="721">
        <v>101.35</v>
      </c>
      <c r="L85" s="721">
        <v>2533.41</v>
      </c>
      <c r="M85" s="1193">
        <v>72</v>
      </c>
      <c r="N85" s="1273">
        <f t="shared" si="55"/>
        <v>1799.75</v>
      </c>
      <c r="O85" s="1184"/>
      <c r="P85" s="1174">
        <f t="shared" si="56"/>
        <v>77</v>
      </c>
      <c r="Q85" s="721">
        <v>70</v>
      </c>
      <c r="R85" s="188"/>
      <c r="S85" s="721">
        <v>112.05</v>
      </c>
      <c r="T85" s="721">
        <f t="shared" si="57"/>
        <v>91.025000000000006</v>
      </c>
      <c r="U85" s="1008">
        <f t="shared" si="50"/>
        <v>-0.10187469166255539</v>
      </c>
      <c r="V85" s="1005">
        <f t="shared" si="51"/>
        <v>24.996645288603847</v>
      </c>
    </row>
    <row r="86" spans="1:22" ht="47.25">
      <c r="A86" s="992">
        <f t="shared" si="58"/>
        <v>74</v>
      </c>
      <c r="B86" s="874" t="s">
        <v>2399</v>
      </c>
      <c r="C86" s="287">
        <v>54.6</v>
      </c>
      <c r="D86" s="290">
        <v>1364.75</v>
      </c>
      <c r="E86" s="719">
        <f t="shared" si="0"/>
        <v>60.060000000000009</v>
      </c>
      <c r="F86" s="720">
        <f t="shared" si="11"/>
        <v>1501.2250000000001</v>
      </c>
      <c r="G86" s="721">
        <v>60.060000000000009</v>
      </c>
      <c r="H86" s="721">
        <v>1501.2250000000001</v>
      </c>
      <c r="I86" s="721">
        <v>60.060000000000009</v>
      </c>
      <c r="J86" s="721">
        <v>1501.2250000000001</v>
      </c>
      <c r="K86" s="721">
        <v>60.060000000000009</v>
      </c>
      <c r="L86" s="721">
        <v>1501.2250000000001</v>
      </c>
      <c r="M86" s="1193">
        <v>64</v>
      </c>
      <c r="N86" s="1273">
        <f t="shared" si="55"/>
        <v>1599.7</v>
      </c>
      <c r="O86" s="1184"/>
      <c r="P86" s="1174">
        <f t="shared" si="56"/>
        <v>68.2</v>
      </c>
      <c r="Q86" s="721">
        <v>62</v>
      </c>
      <c r="R86" s="188"/>
      <c r="S86" s="721">
        <v>88.56</v>
      </c>
      <c r="T86" s="721">
        <f t="shared" si="57"/>
        <v>75.28</v>
      </c>
      <c r="U86" s="1008">
        <f t="shared" si="50"/>
        <v>0.25341325341325321</v>
      </c>
      <c r="V86" s="1005">
        <f t="shared" si="51"/>
        <v>24.995421245421245</v>
      </c>
    </row>
    <row r="87" spans="1:22" ht="47.25">
      <c r="A87" s="992">
        <f t="shared" si="58"/>
        <v>75</v>
      </c>
      <c r="B87" s="874" t="s">
        <v>2400</v>
      </c>
      <c r="C87" s="287">
        <v>60.9</v>
      </c>
      <c r="D87" s="290">
        <v>1522.22</v>
      </c>
      <c r="E87" s="719">
        <f t="shared" si="0"/>
        <v>66.990000000000009</v>
      </c>
      <c r="F87" s="720">
        <f t="shared" si="11"/>
        <v>1674.4420000000002</v>
      </c>
      <c r="G87" s="721">
        <v>66.990000000000009</v>
      </c>
      <c r="H87" s="721">
        <v>1674.4420000000002</v>
      </c>
      <c r="I87" s="721">
        <v>66.990000000000009</v>
      </c>
      <c r="J87" s="721">
        <v>1674.4420000000002</v>
      </c>
      <c r="K87" s="721">
        <v>66.990000000000009</v>
      </c>
      <c r="L87" s="721">
        <v>1674.4420000000002</v>
      </c>
      <c r="M87" s="1193">
        <v>71</v>
      </c>
      <c r="N87" s="1273">
        <f t="shared" si="55"/>
        <v>1774.67</v>
      </c>
      <c r="O87" s="1184"/>
      <c r="P87" s="1174">
        <f t="shared" si="56"/>
        <v>75.900000000000006</v>
      </c>
      <c r="Q87" s="721">
        <v>69</v>
      </c>
      <c r="R87" s="188"/>
      <c r="S87" s="721">
        <v>104.76</v>
      </c>
      <c r="T87" s="721">
        <f t="shared" si="57"/>
        <v>86.88</v>
      </c>
      <c r="U87" s="1008">
        <f t="shared" si="50"/>
        <v>0.29690998656515871</v>
      </c>
      <c r="V87" s="1005">
        <f t="shared" si="51"/>
        <v>24.995402298850575</v>
      </c>
    </row>
    <row r="88" spans="1:22" ht="47.25">
      <c r="A88" s="992">
        <f t="shared" si="58"/>
        <v>76</v>
      </c>
      <c r="B88" s="874" t="s">
        <v>2401</v>
      </c>
      <c r="C88" s="287">
        <v>63</v>
      </c>
      <c r="D88" s="290">
        <v>1574.72</v>
      </c>
      <c r="E88" s="719">
        <f t="shared" si="0"/>
        <v>69.300000000000011</v>
      </c>
      <c r="F88" s="720">
        <f t="shared" si="11"/>
        <v>1732.1920000000002</v>
      </c>
      <c r="G88" s="721">
        <v>69.300000000000011</v>
      </c>
      <c r="H88" s="721">
        <v>1732.1920000000002</v>
      </c>
      <c r="I88" s="721">
        <v>69.300000000000011</v>
      </c>
      <c r="J88" s="721">
        <v>1732.1920000000002</v>
      </c>
      <c r="K88" s="721">
        <v>69.300000000000011</v>
      </c>
      <c r="L88" s="721">
        <v>1732.1920000000002</v>
      </c>
      <c r="M88" s="1193">
        <v>74</v>
      </c>
      <c r="N88" s="1273">
        <f t="shared" si="55"/>
        <v>1849.67</v>
      </c>
      <c r="O88" s="1184"/>
      <c r="P88" s="1174">
        <f t="shared" si="56"/>
        <v>79.2</v>
      </c>
      <c r="Q88" s="721">
        <v>72</v>
      </c>
      <c r="R88" s="188"/>
      <c r="S88" s="721">
        <v>115.56</v>
      </c>
      <c r="T88" s="721">
        <f t="shared" si="57"/>
        <v>93.78</v>
      </c>
      <c r="U88" s="1008">
        <f t="shared" si="50"/>
        <v>0.35324675324675303</v>
      </c>
      <c r="V88" s="1005">
        <f t="shared" si="51"/>
        <v>24.995555555555555</v>
      </c>
    </row>
    <row r="89" spans="1:22" s="642" customFormat="1" ht="25.5">
      <c r="A89" s="995"/>
      <c r="B89" s="759" t="s">
        <v>2224</v>
      </c>
      <c r="C89" s="762"/>
      <c r="D89" s="763"/>
      <c r="E89" s="761"/>
      <c r="F89" s="756"/>
      <c r="G89" s="758"/>
      <c r="H89" s="758"/>
      <c r="I89" s="758"/>
      <c r="J89" s="758"/>
      <c r="K89" s="758"/>
      <c r="L89" s="758"/>
      <c r="M89" s="1194"/>
      <c r="N89" s="1194"/>
      <c r="O89" s="1182"/>
      <c r="P89" s="1173" t="str">
        <f>P82</f>
        <v>10% add Rup</v>
      </c>
      <c r="Q89" s="1006" t="s">
        <v>2322</v>
      </c>
      <c r="R89" s="1006" t="s">
        <v>2464</v>
      </c>
      <c r="S89" s="1006" t="s">
        <v>2468</v>
      </c>
      <c r="T89" s="1006" t="s">
        <v>2471</v>
      </c>
      <c r="U89" s="1008" t="e">
        <f t="shared" si="50"/>
        <v>#VALUE!</v>
      </c>
      <c r="V89" s="1005" t="e">
        <f t="shared" si="51"/>
        <v>#DIV/0!</v>
      </c>
    </row>
    <row r="90" spans="1:22" ht="47.25">
      <c r="A90" s="992">
        <f>A88+1</f>
        <v>77</v>
      </c>
      <c r="B90" s="874" t="s">
        <v>2397</v>
      </c>
      <c r="C90" s="287">
        <v>12.6</v>
      </c>
      <c r="D90" s="290">
        <v>1260.04</v>
      </c>
      <c r="E90" s="719">
        <f t="shared" si="0"/>
        <v>13.860000000000001</v>
      </c>
      <c r="F90" s="720">
        <f t="shared" si="11"/>
        <v>1386.0440000000001</v>
      </c>
      <c r="G90" s="721">
        <v>13.860000000000001</v>
      </c>
      <c r="H90" s="721">
        <v>1386.0440000000001</v>
      </c>
      <c r="I90" s="721">
        <v>13.860000000000001</v>
      </c>
      <c r="J90" s="721">
        <v>1386.0440000000001</v>
      </c>
      <c r="K90" s="721">
        <v>13.713000000000001</v>
      </c>
      <c r="L90" s="721">
        <v>1371.3</v>
      </c>
      <c r="M90" s="1193">
        <f>Q90</f>
        <v>15</v>
      </c>
      <c r="N90" s="1273">
        <f t="shared" ref="N90:N91" si="59">TRUNC(M90*V90,2)</f>
        <v>1500.04</v>
      </c>
      <c r="O90" s="1185"/>
      <c r="P90" s="1174">
        <f>TRUNC(Q90*110%,2)</f>
        <v>16.5</v>
      </c>
      <c r="Q90" s="721">
        <v>15</v>
      </c>
      <c r="R90" s="188"/>
      <c r="S90" s="721">
        <v>20.02</v>
      </c>
      <c r="T90" s="721">
        <f t="shared" ref="T90:T95" si="60">AVERAGE(Q90:S90)</f>
        <v>17.509999999999998</v>
      </c>
      <c r="U90" s="1008">
        <f t="shared" si="50"/>
        <v>0.26334776334776311</v>
      </c>
      <c r="V90" s="1005">
        <f t="shared" si="51"/>
        <v>100.0031746031746</v>
      </c>
    </row>
    <row r="91" spans="1:22" ht="47.25">
      <c r="A91" s="992">
        <f>A90+1</f>
        <v>78</v>
      </c>
      <c r="B91" s="874" t="s">
        <v>2396</v>
      </c>
      <c r="C91" s="287">
        <v>14.7</v>
      </c>
      <c r="D91" s="290">
        <v>1470.05</v>
      </c>
      <c r="E91" s="719">
        <f t="shared" si="0"/>
        <v>16.170000000000002</v>
      </c>
      <c r="F91" s="720">
        <f t="shared" si="11"/>
        <v>1617.0550000000001</v>
      </c>
      <c r="G91" s="721">
        <v>16.170000000000002</v>
      </c>
      <c r="H91" s="721">
        <v>1617.0550000000001</v>
      </c>
      <c r="I91" s="721">
        <v>16.170000000000002</v>
      </c>
      <c r="J91" s="721">
        <v>1617.0550000000001</v>
      </c>
      <c r="K91" s="721">
        <v>16.212</v>
      </c>
      <c r="L91" s="721">
        <v>1621.2</v>
      </c>
      <c r="M91" s="1193">
        <f t="shared" ref="M91:M95" si="61">Q91</f>
        <v>17</v>
      </c>
      <c r="N91" s="1273">
        <f t="shared" si="59"/>
        <v>1700.05</v>
      </c>
      <c r="O91" s="1184"/>
      <c r="P91" s="1174">
        <f t="shared" ref="P91:P141" si="62">TRUNC(Q91*110%,2)</f>
        <v>18.7</v>
      </c>
      <c r="Q91" s="721">
        <v>17</v>
      </c>
      <c r="R91" s="188"/>
      <c r="S91" s="721">
        <v>23.92</v>
      </c>
      <c r="T91" s="721">
        <f t="shared" si="60"/>
        <v>20.46</v>
      </c>
      <c r="U91" s="1008">
        <f t="shared" si="50"/>
        <v>0.2653061224489795</v>
      </c>
      <c r="V91" s="1005">
        <f t="shared" si="51"/>
        <v>100.00340136054422</v>
      </c>
    </row>
    <row r="92" spans="1:22" ht="47.25">
      <c r="A92" s="992">
        <f t="shared" ref="A92:A102" si="63">A91+1</f>
        <v>79</v>
      </c>
      <c r="B92" s="874" t="s">
        <v>2392</v>
      </c>
      <c r="C92" s="287">
        <v>17.329999999999998</v>
      </c>
      <c r="D92" s="290">
        <v>1732.56</v>
      </c>
      <c r="E92" s="719">
        <f t="shared" si="0"/>
        <v>19.062999999999999</v>
      </c>
      <c r="F92" s="720">
        <f t="shared" si="11"/>
        <v>1905.816</v>
      </c>
      <c r="G92" s="721">
        <v>19.062999999999999</v>
      </c>
      <c r="H92" s="721">
        <v>1905.816</v>
      </c>
      <c r="I92" s="721">
        <v>19.062999999999999</v>
      </c>
      <c r="J92" s="721">
        <v>1905.816</v>
      </c>
      <c r="K92" s="721">
        <v>18.700499999999998</v>
      </c>
      <c r="L92" s="721">
        <v>1870.05</v>
      </c>
      <c r="M92" s="1193">
        <f t="shared" si="61"/>
        <v>20</v>
      </c>
      <c r="N92" s="1273">
        <f>TRUNC(M92*V92,2)</f>
        <v>2000</v>
      </c>
      <c r="O92" s="1185"/>
      <c r="P92" s="1174">
        <f t="shared" si="62"/>
        <v>22</v>
      </c>
      <c r="Q92" s="721">
        <v>20</v>
      </c>
      <c r="R92" s="188"/>
      <c r="S92" s="721">
        <v>27.82</v>
      </c>
      <c r="T92" s="721">
        <f t="shared" si="60"/>
        <v>23.91</v>
      </c>
      <c r="U92" s="1008">
        <f t="shared" si="50"/>
        <v>0.25426218328699585</v>
      </c>
      <c r="V92" s="1005">
        <v>100</v>
      </c>
    </row>
    <row r="93" spans="1:22" ht="63">
      <c r="A93" s="992">
        <f t="shared" si="63"/>
        <v>80</v>
      </c>
      <c r="B93" s="874" t="s">
        <v>2796</v>
      </c>
      <c r="C93" s="287"/>
      <c r="D93" s="290"/>
      <c r="E93" s="719"/>
      <c r="F93" s="720"/>
      <c r="G93" s="721"/>
      <c r="H93" s="721"/>
      <c r="I93" s="1393">
        <v>0</v>
      </c>
      <c r="J93" s="1393">
        <v>0</v>
      </c>
      <c r="K93" s="1393">
        <v>0</v>
      </c>
      <c r="L93" s="1393">
        <v>0</v>
      </c>
      <c r="M93" s="1193">
        <f t="shared" si="61"/>
        <v>18</v>
      </c>
      <c r="N93" s="1273">
        <f t="shared" ref="N93:N95" si="64">TRUNC(M93*V93,2)</f>
        <v>1800</v>
      </c>
      <c r="O93" s="1184"/>
      <c r="P93" s="1174">
        <f t="shared" si="62"/>
        <v>19.8</v>
      </c>
      <c r="Q93" s="721">
        <v>18</v>
      </c>
      <c r="R93" s="188"/>
      <c r="S93" s="721">
        <v>29.52</v>
      </c>
      <c r="T93" s="721">
        <f t="shared" si="60"/>
        <v>23.759999999999998</v>
      </c>
      <c r="U93" s="1008"/>
      <c r="V93" s="1005">
        <f>V92</f>
        <v>100</v>
      </c>
    </row>
    <row r="94" spans="1:22" ht="63">
      <c r="A94" s="992">
        <f t="shared" si="63"/>
        <v>81</v>
      </c>
      <c r="B94" s="874" t="s">
        <v>2797</v>
      </c>
      <c r="C94" s="287"/>
      <c r="D94" s="290"/>
      <c r="E94" s="719"/>
      <c r="F94" s="720"/>
      <c r="G94" s="721"/>
      <c r="H94" s="721"/>
      <c r="I94" s="1393">
        <v>0</v>
      </c>
      <c r="J94" s="1393">
        <v>0</v>
      </c>
      <c r="K94" s="1393">
        <v>0</v>
      </c>
      <c r="L94" s="1393">
        <v>0</v>
      </c>
      <c r="M94" s="1193">
        <f t="shared" si="61"/>
        <v>21</v>
      </c>
      <c r="N94" s="1273">
        <f t="shared" si="64"/>
        <v>2100</v>
      </c>
      <c r="O94" s="1184"/>
      <c r="P94" s="1174">
        <f>TRUNC(Q94*110%,2)</f>
        <v>23.1</v>
      </c>
      <c r="Q94" s="721">
        <v>21</v>
      </c>
      <c r="R94" s="188"/>
      <c r="S94" s="721">
        <v>34.92</v>
      </c>
      <c r="T94" s="721">
        <f t="shared" si="60"/>
        <v>27.96</v>
      </c>
      <c r="U94" s="1008"/>
      <c r="V94" s="1005">
        <f t="shared" ref="V94:V95" si="65">V93</f>
        <v>100</v>
      </c>
    </row>
    <row r="95" spans="1:22" ht="63">
      <c r="A95" s="992">
        <f t="shared" si="63"/>
        <v>82</v>
      </c>
      <c r="B95" s="874" t="s">
        <v>2798</v>
      </c>
      <c r="C95" s="287"/>
      <c r="D95" s="290"/>
      <c r="E95" s="719"/>
      <c r="F95" s="720"/>
      <c r="G95" s="721"/>
      <c r="H95" s="721"/>
      <c r="I95" s="1393">
        <v>0</v>
      </c>
      <c r="J95" s="1393">
        <v>0</v>
      </c>
      <c r="K95" s="1393">
        <v>0</v>
      </c>
      <c r="L95" s="1393">
        <v>0</v>
      </c>
      <c r="M95" s="1193">
        <f t="shared" si="61"/>
        <v>24</v>
      </c>
      <c r="N95" s="1273">
        <f t="shared" si="64"/>
        <v>2400</v>
      </c>
      <c r="O95" s="1184"/>
      <c r="P95" s="1174">
        <f t="shared" si="62"/>
        <v>26.4</v>
      </c>
      <c r="Q95" s="721">
        <v>24</v>
      </c>
      <c r="R95" s="188"/>
      <c r="S95" s="721">
        <v>36.72</v>
      </c>
      <c r="T95" s="721">
        <f t="shared" si="60"/>
        <v>30.36</v>
      </c>
      <c r="U95" s="1008"/>
      <c r="V95" s="1005">
        <f t="shared" si="65"/>
        <v>100</v>
      </c>
    </row>
    <row r="96" spans="1:22" ht="25.5">
      <c r="A96" s="995"/>
      <c r="B96" s="999" t="s">
        <v>2461</v>
      </c>
      <c r="C96" s="762"/>
      <c r="D96" s="763"/>
      <c r="E96" s="761"/>
      <c r="F96" s="756"/>
      <c r="G96" s="758"/>
      <c r="H96" s="758"/>
      <c r="I96" s="758"/>
      <c r="J96" s="758"/>
      <c r="K96" s="758"/>
      <c r="L96" s="758"/>
      <c r="M96" s="1194"/>
      <c r="N96" s="1194"/>
      <c r="O96" s="1182"/>
      <c r="P96" s="1173" t="str">
        <f>P89</f>
        <v>10% add Rup</v>
      </c>
      <c r="Q96" s="1006" t="s">
        <v>2322</v>
      </c>
      <c r="R96" s="1006" t="s">
        <v>2464</v>
      </c>
      <c r="S96" s="1006" t="s">
        <v>2468</v>
      </c>
      <c r="T96" s="1006" t="s">
        <v>2471</v>
      </c>
      <c r="U96" s="1008" t="e">
        <f>(T96-I96)/I96</f>
        <v>#VALUE!</v>
      </c>
      <c r="V96" s="1005" t="e">
        <f>J96/I96</f>
        <v>#DIV/0!</v>
      </c>
    </row>
    <row r="97" spans="1:24" ht="47.25">
      <c r="A97" s="992">
        <f>A95+1</f>
        <v>83</v>
      </c>
      <c r="B97" s="874" t="s">
        <v>2393</v>
      </c>
      <c r="C97" s="287">
        <v>52.5</v>
      </c>
      <c r="D97" s="290">
        <v>1399.82</v>
      </c>
      <c r="E97" s="719">
        <f t="shared" si="0"/>
        <v>57.750000000000007</v>
      </c>
      <c r="F97" s="720">
        <f t="shared" si="11"/>
        <v>1539.8020000000001</v>
      </c>
      <c r="G97" s="721">
        <v>57.750000000000007</v>
      </c>
      <c r="H97" s="721">
        <v>1539.8020000000001</v>
      </c>
      <c r="I97" s="721">
        <v>57.750000000000007</v>
      </c>
      <c r="J97" s="721">
        <v>1539.8020000000001</v>
      </c>
      <c r="K97" s="721">
        <v>55.482000000000006</v>
      </c>
      <c r="L97" s="721">
        <v>1479.32</v>
      </c>
      <c r="M97" s="1193">
        <f>Q97</f>
        <v>59</v>
      </c>
      <c r="N97" s="1273">
        <f t="shared" ref="N97:N99" si="66">TRUNC(M97*V97,2)</f>
        <v>1573.13</v>
      </c>
      <c r="O97" s="1185"/>
      <c r="P97" s="1174">
        <f>TRUNC(Q97*110%,2)</f>
        <v>64.900000000000006</v>
      </c>
      <c r="Q97" s="721">
        <v>59</v>
      </c>
      <c r="R97" s="188"/>
      <c r="S97" s="721">
        <v>84.5</v>
      </c>
      <c r="T97" s="721">
        <f t="shared" ref="T97:T102" si="67">AVERAGE(Q97:S97)</f>
        <v>71.75</v>
      </c>
      <c r="U97" s="1008">
        <f>(T97-I97)/I97</f>
        <v>0.24242424242424226</v>
      </c>
      <c r="V97" s="1005">
        <f>J97/I97</f>
        <v>26.663238095238093</v>
      </c>
      <c r="X97" s="1005"/>
    </row>
    <row r="98" spans="1:24" ht="47.25">
      <c r="A98" s="992">
        <f t="shared" si="63"/>
        <v>84</v>
      </c>
      <c r="B98" s="874" t="s">
        <v>2394</v>
      </c>
      <c r="C98" s="287">
        <v>57.75</v>
      </c>
      <c r="D98" s="290">
        <v>1539.8</v>
      </c>
      <c r="E98" s="719">
        <f t="shared" si="0"/>
        <v>63.525000000000006</v>
      </c>
      <c r="F98" s="720">
        <f t="shared" si="11"/>
        <v>1693.7800000000002</v>
      </c>
      <c r="G98" s="721">
        <v>63.525000000000006</v>
      </c>
      <c r="H98" s="721">
        <v>1693.7800000000002</v>
      </c>
      <c r="I98" s="721">
        <v>63.525000000000006</v>
      </c>
      <c r="J98" s="721">
        <v>1693.7800000000002</v>
      </c>
      <c r="K98" s="721">
        <v>61.719000000000001</v>
      </c>
      <c r="L98" s="721">
        <v>1645.62</v>
      </c>
      <c r="M98" s="1193">
        <f t="shared" ref="M98:M102" si="68">Q98</f>
        <v>65</v>
      </c>
      <c r="N98" s="1273">
        <f t="shared" si="66"/>
        <v>1733.1</v>
      </c>
      <c r="O98" s="1184"/>
      <c r="P98" s="1174">
        <f t="shared" si="62"/>
        <v>71.5</v>
      </c>
      <c r="Q98" s="721">
        <v>65</v>
      </c>
      <c r="R98" s="188"/>
      <c r="S98" s="721">
        <v>97</v>
      </c>
      <c r="T98" s="721">
        <f t="shared" si="67"/>
        <v>81</v>
      </c>
      <c r="U98" s="1008">
        <f>(T98-I98)/I98</f>
        <v>0.27508854781582043</v>
      </c>
      <c r="V98" s="1005">
        <f>J98/I98</f>
        <v>26.663203463203462</v>
      </c>
    </row>
    <row r="99" spans="1:24" ht="47.25">
      <c r="A99" s="992">
        <f t="shared" si="63"/>
        <v>85</v>
      </c>
      <c r="B99" s="874" t="s">
        <v>2395</v>
      </c>
      <c r="C99" s="287">
        <v>59.85</v>
      </c>
      <c r="D99" s="290">
        <v>1595.8</v>
      </c>
      <c r="E99" s="719">
        <f t="shared" ref="E99:E176" si="69">C99*1.1</f>
        <v>65.835000000000008</v>
      </c>
      <c r="F99" s="720">
        <f t="shared" si="11"/>
        <v>1755.38</v>
      </c>
      <c r="G99" s="721">
        <v>65.835000000000008</v>
      </c>
      <c r="H99" s="721">
        <v>1755.38</v>
      </c>
      <c r="I99" s="721">
        <v>65.835000000000008</v>
      </c>
      <c r="J99" s="721">
        <v>1755.38</v>
      </c>
      <c r="K99" s="721">
        <v>64.522500000000008</v>
      </c>
      <c r="L99" s="721">
        <v>1720.38</v>
      </c>
      <c r="M99" s="1193">
        <f t="shared" si="68"/>
        <v>68</v>
      </c>
      <c r="N99" s="1273">
        <f t="shared" si="66"/>
        <v>1813.1</v>
      </c>
      <c r="O99" s="1184"/>
      <c r="P99" s="1174">
        <f t="shared" si="62"/>
        <v>74.8</v>
      </c>
      <c r="Q99" s="721">
        <v>68</v>
      </c>
      <c r="R99" s="188"/>
      <c r="S99" s="721">
        <v>102</v>
      </c>
      <c r="T99" s="721">
        <f t="shared" si="67"/>
        <v>85</v>
      </c>
      <c r="U99" s="1008">
        <f>(T99-I99)/I99</f>
        <v>0.29110655426444887</v>
      </c>
      <c r="V99" s="1005">
        <f>J99/I99</f>
        <v>26.663324979114453</v>
      </c>
    </row>
    <row r="100" spans="1:24" ht="47.25">
      <c r="A100" s="992">
        <f t="shared" si="63"/>
        <v>86</v>
      </c>
      <c r="B100" s="874" t="s">
        <v>2799</v>
      </c>
      <c r="C100" s="287"/>
      <c r="D100" s="290"/>
      <c r="E100" s="719"/>
      <c r="F100" s="720"/>
      <c r="G100" s="721"/>
      <c r="H100" s="721"/>
      <c r="I100" s="1393">
        <v>0</v>
      </c>
      <c r="J100" s="1393">
        <v>0</v>
      </c>
      <c r="K100" s="1393">
        <v>0</v>
      </c>
      <c r="L100" s="1393">
        <v>0</v>
      </c>
      <c r="M100" s="1193">
        <f t="shared" si="68"/>
        <v>65</v>
      </c>
      <c r="N100" s="1193">
        <f>TRUNC(M100*V100,2)</f>
        <v>1733.11</v>
      </c>
      <c r="O100" s="1184"/>
      <c r="P100" s="1174">
        <f t="shared" si="62"/>
        <v>71.5</v>
      </c>
      <c r="Q100" s="721">
        <v>65</v>
      </c>
      <c r="R100" s="188"/>
      <c r="S100" s="721">
        <v>109.88</v>
      </c>
      <c r="T100" s="721">
        <f t="shared" si="67"/>
        <v>87.44</v>
      </c>
      <c r="U100" s="1008"/>
      <c r="V100" s="1005">
        <f>V99</f>
        <v>26.663324979114453</v>
      </c>
    </row>
    <row r="101" spans="1:24" ht="47.25">
      <c r="A101" s="992">
        <f t="shared" si="63"/>
        <v>87</v>
      </c>
      <c r="B101" s="874" t="s">
        <v>2800</v>
      </c>
      <c r="C101" s="287"/>
      <c r="D101" s="290"/>
      <c r="E101" s="719"/>
      <c r="F101" s="720"/>
      <c r="G101" s="721"/>
      <c r="H101" s="721"/>
      <c r="I101" s="1393">
        <v>0</v>
      </c>
      <c r="J101" s="1393">
        <v>0</v>
      </c>
      <c r="K101" s="1393">
        <v>0</v>
      </c>
      <c r="L101" s="1393">
        <v>0</v>
      </c>
      <c r="M101" s="1193">
        <f t="shared" si="68"/>
        <v>77</v>
      </c>
      <c r="N101" s="1193">
        <f t="shared" ref="N101:N102" si="70">TRUNC(M101*V101,2)</f>
        <v>2053.0700000000002</v>
      </c>
      <c r="O101" s="1184"/>
      <c r="P101" s="1174">
        <f t="shared" si="62"/>
        <v>84.7</v>
      </c>
      <c r="Q101" s="721">
        <v>77</v>
      </c>
      <c r="R101" s="188"/>
      <c r="S101" s="721">
        <v>129.97999999999999</v>
      </c>
      <c r="T101" s="721">
        <f t="shared" si="67"/>
        <v>103.49</v>
      </c>
      <c r="U101" s="1008"/>
      <c r="V101" s="1005">
        <f t="shared" ref="V101:V102" si="71">V100</f>
        <v>26.663324979114453</v>
      </c>
    </row>
    <row r="102" spans="1:24" ht="47.25">
      <c r="A102" s="992">
        <f t="shared" si="63"/>
        <v>88</v>
      </c>
      <c r="B102" s="874" t="s">
        <v>2801</v>
      </c>
      <c r="C102" s="287"/>
      <c r="D102" s="290"/>
      <c r="E102" s="719"/>
      <c r="F102" s="720"/>
      <c r="G102" s="721"/>
      <c r="H102" s="721"/>
      <c r="I102" s="1393">
        <v>0</v>
      </c>
      <c r="J102" s="1393">
        <v>0</v>
      </c>
      <c r="K102" s="1393">
        <v>0</v>
      </c>
      <c r="L102" s="1393">
        <v>0</v>
      </c>
      <c r="M102" s="1193">
        <f t="shared" si="68"/>
        <v>86</v>
      </c>
      <c r="N102" s="1193">
        <f t="shared" si="70"/>
        <v>2293.04</v>
      </c>
      <c r="O102" s="1184"/>
      <c r="P102" s="1174">
        <f t="shared" si="62"/>
        <v>94.6</v>
      </c>
      <c r="Q102" s="721">
        <v>86</v>
      </c>
      <c r="R102" s="188"/>
      <c r="S102" s="721">
        <v>136.68</v>
      </c>
      <c r="T102" s="721">
        <f t="shared" si="67"/>
        <v>111.34</v>
      </c>
      <c r="U102" s="1008"/>
      <c r="V102" s="1005">
        <f t="shared" si="71"/>
        <v>26.663324979114453</v>
      </c>
    </row>
    <row r="103" spans="1:24" s="642" customFormat="1" ht="25.5">
      <c r="A103" s="995"/>
      <c r="B103" s="759" t="s">
        <v>2223</v>
      </c>
      <c r="C103" s="762"/>
      <c r="D103" s="763"/>
      <c r="E103" s="761"/>
      <c r="F103" s="756"/>
      <c r="G103" s="758"/>
      <c r="H103" s="758"/>
      <c r="I103" s="758"/>
      <c r="J103" s="758"/>
      <c r="K103" s="758"/>
      <c r="L103" s="758"/>
      <c r="M103" s="1194"/>
      <c r="N103" s="1194"/>
      <c r="O103" s="1182"/>
      <c r="P103" s="1173" t="str">
        <f>P96</f>
        <v>10% add Rup</v>
      </c>
      <c r="Q103" s="1006" t="s">
        <v>2322</v>
      </c>
      <c r="R103" s="1006" t="s">
        <v>2464</v>
      </c>
      <c r="S103" s="1006" t="s">
        <v>2468</v>
      </c>
      <c r="T103" s="1006" t="s">
        <v>2471</v>
      </c>
      <c r="U103" s="1008" t="e">
        <f>(T103-I103)/I103</f>
        <v>#VALUE!</v>
      </c>
      <c r="V103" s="1005" t="e">
        <f>J103/I103</f>
        <v>#DIV/0!</v>
      </c>
    </row>
    <row r="104" spans="1:24" ht="47.25">
      <c r="A104" s="992">
        <f>A102+1</f>
        <v>89</v>
      </c>
      <c r="B104" s="874" t="s">
        <v>2438</v>
      </c>
      <c r="C104" s="287">
        <v>55.65</v>
      </c>
      <c r="D104" s="290">
        <v>1391</v>
      </c>
      <c r="E104" s="719">
        <f t="shared" si="69"/>
        <v>61.215000000000003</v>
      </c>
      <c r="F104" s="720">
        <f t="shared" si="11"/>
        <v>1530.1000000000001</v>
      </c>
      <c r="G104" s="721">
        <v>61.215000000000003</v>
      </c>
      <c r="H104" s="721">
        <v>1530.1000000000001</v>
      </c>
      <c r="I104" s="721">
        <v>61.215000000000003</v>
      </c>
      <c r="J104" s="721">
        <v>1530.1000000000001</v>
      </c>
      <c r="K104" s="721">
        <v>58.915500000000002</v>
      </c>
      <c r="L104" s="721">
        <v>1472.62</v>
      </c>
      <c r="M104" s="1193">
        <f>Q104</f>
        <v>62</v>
      </c>
      <c r="N104" s="1273">
        <f t="shared" ref="N104:N108" si="72">TRUNC(M104*V104,2)</f>
        <v>1549.72</v>
      </c>
      <c r="O104" s="1185"/>
      <c r="P104" s="1174">
        <f>TRUNC(Q104*110%,2)</f>
        <v>68.2</v>
      </c>
      <c r="Q104" s="721">
        <v>62</v>
      </c>
      <c r="R104" s="188"/>
      <c r="S104" s="721">
        <v>97.52</v>
      </c>
      <c r="T104" s="721">
        <f t="shared" ref="T104:T109" si="73">AVERAGE(Q104:S104)</f>
        <v>79.759999999999991</v>
      </c>
      <c r="U104" s="1008">
        <f>(T104-I104)/I104</f>
        <v>0.30294862370334047</v>
      </c>
      <c r="V104" s="1005">
        <f>J104/I104</f>
        <v>24.99550763701707</v>
      </c>
    </row>
    <row r="105" spans="1:24" ht="47.25">
      <c r="A105" s="992">
        <f>A104+1</f>
        <v>90</v>
      </c>
      <c r="B105" s="874" t="s">
        <v>2439</v>
      </c>
      <c r="C105" s="287">
        <v>61.95</v>
      </c>
      <c r="D105" s="290">
        <v>1548.47</v>
      </c>
      <c r="E105" s="719">
        <f t="shared" si="69"/>
        <v>68.14500000000001</v>
      </c>
      <c r="F105" s="720">
        <f t="shared" si="11"/>
        <v>1703.3170000000002</v>
      </c>
      <c r="G105" s="721">
        <v>68.14500000000001</v>
      </c>
      <c r="H105" s="721">
        <v>1703.3170000000002</v>
      </c>
      <c r="I105" s="721">
        <v>68.14500000000001</v>
      </c>
      <c r="J105" s="721">
        <v>1703.3170000000002</v>
      </c>
      <c r="K105" s="721">
        <v>65.457000000000008</v>
      </c>
      <c r="L105" s="721">
        <v>1636.12</v>
      </c>
      <c r="M105" s="1193">
        <f t="shared" ref="M105:M109" si="74">Q105</f>
        <v>69</v>
      </c>
      <c r="N105" s="1273">
        <f t="shared" si="72"/>
        <v>1724.68</v>
      </c>
      <c r="O105" s="1184"/>
      <c r="P105" s="1174">
        <f t="shared" si="62"/>
        <v>75.900000000000006</v>
      </c>
      <c r="Q105" s="721">
        <v>69</v>
      </c>
      <c r="R105" s="188"/>
      <c r="S105" s="721">
        <v>108.12</v>
      </c>
      <c r="T105" s="721">
        <f t="shared" si="73"/>
        <v>88.56</v>
      </c>
      <c r="U105" s="1008">
        <f>(T105-I105)/I105</f>
        <v>0.29958177415804516</v>
      </c>
      <c r="V105" s="1005">
        <f>J105/I105</f>
        <v>24.9954802259887</v>
      </c>
    </row>
    <row r="106" spans="1:24" ht="47.25">
      <c r="A106" s="992">
        <f>A105+1</f>
        <v>91</v>
      </c>
      <c r="B106" s="874" t="s">
        <v>2440</v>
      </c>
      <c r="C106" s="287">
        <v>64.05</v>
      </c>
      <c r="D106" s="290">
        <v>1600.96</v>
      </c>
      <c r="E106" s="719">
        <f t="shared" si="69"/>
        <v>70.454999999999998</v>
      </c>
      <c r="F106" s="720">
        <f t="shared" si="11"/>
        <v>1761.0560000000003</v>
      </c>
      <c r="G106" s="721">
        <v>70.454999999999998</v>
      </c>
      <c r="H106" s="721">
        <v>1761.0560000000003</v>
      </c>
      <c r="I106" s="721">
        <v>70.454999999999998</v>
      </c>
      <c r="J106" s="721">
        <v>1761.0560000000003</v>
      </c>
      <c r="K106" s="721">
        <v>68.271000000000001</v>
      </c>
      <c r="L106" s="721">
        <v>1706.46</v>
      </c>
      <c r="M106" s="1193">
        <f t="shared" si="74"/>
        <v>72</v>
      </c>
      <c r="N106" s="1273">
        <f t="shared" si="72"/>
        <v>1799.67</v>
      </c>
      <c r="O106" s="1184"/>
      <c r="P106" s="1174">
        <f t="shared" si="62"/>
        <v>79.2</v>
      </c>
      <c r="Q106" s="721">
        <v>72</v>
      </c>
      <c r="R106" s="188"/>
      <c r="S106" s="721">
        <v>118.72</v>
      </c>
      <c r="T106" s="721">
        <f t="shared" si="73"/>
        <v>95.36</v>
      </c>
      <c r="U106" s="1008">
        <f>(T106-I106)/I106</f>
        <v>0.35348804201263218</v>
      </c>
      <c r="V106" s="1005">
        <f>J106/I106</f>
        <v>24.995472287275572</v>
      </c>
    </row>
    <row r="107" spans="1:24" ht="47.25">
      <c r="A107" s="992">
        <f t="shared" ref="A107:A109" si="75">A106+1</f>
        <v>92</v>
      </c>
      <c r="B107" s="874" t="s">
        <v>2802</v>
      </c>
      <c r="C107" s="287"/>
      <c r="D107" s="290"/>
      <c r="E107" s="719"/>
      <c r="F107" s="720"/>
      <c r="G107" s="721"/>
      <c r="H107" s="721"/>
      <c r="I107" s="1393">
        <v>0</v>
      </c>
      <c r="J107" s="1393">
        <v>0</v>
      </c>
      <c r="K107" s="1393">
        <v>0</v>
      </c>
      <c r="L107" s="1393">
        <v>0</v>
      </c>
      <c r="M107" s="1193">
        <f t="shared" si="74"/>
        <v>80</v>
      </c>
      <c r="N107" s="1273">
        <f t="shared" si="72"/>
        <v>1999.63</v>
      </c>
      <c r="O107" s="1184"/>
      <c r="P107" s="1174">
        <f t="shared" si="62"/>
        <v>88</v>
      </c>
      <c r="Q107" s="721">
        <v>80</v>
      </c>
      <c r="R107" s="188"/>
      <c r="S107" s="721">
        <v>118.08</v>
      </c>
      <c r="T107" s="721">
        <f t="shared" si="73"/>
        <v>99.039999999999992</v>
      </c>
      <c r="U107" s="1008" t="e">
        <f t="shared" ref="U107:U109" si="76">(T107-I107)/I107</f>
        <v>#DIV/0!</v>
      </c>
      <c r="V107" s="1005">
        <f>V106</f>
        <v>24.995472287275572</v>
      </c>
      <c r="X107">
        <f>1/(0.2*0.2)</f>
        <v>24.999999999999996</v>
      </c>
    </row>
    <row r="108" spans="1:24" ht="47.25">
      <c r="A108" s="992">
        <f t="shared" si="75"/>
        <v>93</v>
      </c>
      <c r="B108" s="874" t="s">
        <v>2803</v>
      </c>
      <c r="C108" s="287"/>
      <c r="D108" s="290"/>
      <c r="E108" s="719"/>
      <c r="F108" s="720"/>
      <c r="G108" s="721"/>
      <c r="H108" s="721"/>
      <c r="I108" s="1393">
        <v>0</v>
      </c>
      <c r="J108" s="1393">
        <v>0</v>
      </c>
      <c r="K108" s="1393">
        <v>0</v>
      </c>
      <c r="L108" s="1393">
        <v>0</v>
      </c>
      <c r="M108" s="1193">
        <f t="shared" si="74"/>
        <v>90</v>
      </c>
      <c r="N108" s="1273">
        <f t="shared" si="72"/>
        <v>2249.59</v>
      </c>
      <c r="O108" s="1184"/>
      <c r="P108" s="1174">
        <f>TRUNC(Q108*110%,2)</f>
        <v>99</v>
      </c>
      <c r="Q108" s="721">
        <v>90</v>
      </c>
      <c r="R108" s="188"/>
      <c r="S108" s="721">
        <v>139.68</v>
      </c>
      <c r="T108" s="721">
        <f t="shared" si="73"/>
        <v>114.84</v>
      </c>
      <c r="U108" s="1008" t="e">
        <f t="shared" si="76"/>
        <v>#DIV/0!</v>
      </c>
      <c r="V108" s="1005">
        <f t="shared" ref="V108:V109" si="77">V107</f>
        <v>24.995472287275572</v>
      </c>
    </row>
    <row r="109" spans="1:24" ht="47.25">
      <c r="A109" s="992">
        <f t="shared" si="75"/>
        <v>94</v>
      </c>
      <c r="B109" s="874" t="s">
        <v>2804</v>
      </c>
      <c r="C109" s="287"/>
      <c r="D109" s="290"/>
      <c r="E109" s="719"/>
      <c r="F109" s="720"/>
      <c r="G109" s="721"/>
      <c r="H109" s="721"/>
      <c r="I109" s="1393">
        <v>0</v>
      </c>
      <c r="J109" s="1393">
        <v>0</v>
      </c>
      <c r="K109" s="1393">
        <v>0</v>
      </c>
      <c r="L109" s="1393">
        <v>0</v>
      </c>
      <c r="M109" s="1193">
        <f t="shared" si="74"/>
        <v>98</v>
      </c>
      <c r="N109" s="1273">
        <f>TRUNC(M109*V109,2)</f>
        <v>2449.5500000000002</v>
      </c>
      <c r="O109" s="1184"/>
      <c r="P109" s="1174">
        <f t="shared" si="62"/>
        <v>107.8</v>
      </c>
      <c r="Q109" s="721">
        <v>98</v>
      </c>
      <c r="R109" s="188"/>
      <c r="S109" s="721">
        <v>146.88</v>
      </c>
      <c r="T109" s="721">
        <f t="shared" si="73"/>
        <v>122.44</v>
      </c>
      <c r="U109" s="1008" t="e">
        <f t="shared" si="76"/>
        <v>#DIV/0!</v>
      </c>
      <c r="V109" s="1005">
        <f t="shared" si="77"/>
        <v>24.995472287275572</v>
      </c>
    </row>
    <row r="110" spans="1:24" s="642" customFormat="1" ht="25.5">
      <c r="A110" s="995"/>
      <c r="B110" s="759" t="s">
        <v>2812</v>
      </c>
      <c r="C110" s="762"/>
      <c r="D110" s="763"/>
      <c r="E110" s="761"/>
      <c r="F110" s="756"/>
      <c r="G110" s="758"/>
      <c r="H110" s="758"/>
      <c r="I110" s="758"/>
      <c r="J110" s="758"/>
      <c r="K110" s="758"/>
      <c r="L110" s="758"/>
      <c r="M110" s="1194"/>
      <c r="N110" s="1194"/>
      <c r="O110" s="1182"/>
      <c r="P110" s="1173" t="str">
        <f>P103</f>
        <v>10% add Rup</v>
      </c>
      <c r="Q110" s="1006" t="s">
        <v>2322</v>
      </c>
      <c r="R110" s="1006" t="s">
        <v>2464</v>
      </c>
      <c r="S110" s="1006" t="s">
        <v>2468</v>
      </c>
      <c r="T110" s="1006" t="s">
        <v>2471</v>
      </c>
      <c r="U110" s="1008"/>
      <c r="V110" s="1005">
        <f>0.228*0.158</f>
        <v>3.6024E-2</v>
      </c>
    </row>
    <row r="111" spans="1:24" ht="47.25">
      <c r="A111" s="992">
        <f>A109+1</f>
        <v>95</v>
      </c>
      <c r="B111" s="874" t="s">
        <v>2813</v>
      </c>
      <c r="C111" s="287">
        <v>55.65</v>
      </c>
      <c r="D111" s="290">
        <v>1391</v>
      </c>
      <c r="E111" s="719">
        <f t="shared" ref="E111:E113" si="78">C111*1.1</f>
        <v>61.215000000000003</v>
      </c>
      <c r="F111" s="720">
        <f t="shared" ref="F111:F113" si="79">D111*1.1</f>
        <v>1530.1000000000001</v>
      </c>
      <c r="G111" s="721"/>
      <c r="H111" s="721"/>
      <c r="I111" s="1393">
        <v>0</v>
      </c>
      <c r="J111" s="1393">
        <v>0</v>
      </c>
      <c r="K111" s="1393">
        <v>0</v>
      </c>
      <c r="L111" s="1393">
        <v>0</v>
      </c>
      <c r="M111" s="1560">
        <f>Q111</f>
        <v>62</v>
      </c>
      <c r="N111" s="1193">
        <f>TRUNC(M111*V111,2)</f>
        <v>1721.07</v>
      </c>
      <c r="O111" s="1185"/>
      <c r="P111" s="1174">
        <f t="shared" si="62"/>
        <v>68.2</v>
      </c>
      <c r="Q111" s="721">
        <v>62</v>
      </c>
      <c r="R111" s="188"/>
      <c r="S111" s="721">
        <v>85.36</v>
      </c>
      <c r="T111" s="721">
        <f>AVERAGE(Q111:S111)</f>
        <v>73.680000000000007</v>
      </c>
      <c r="U111" s="1008"/>
      <c r="V111" s="1005">
        <f>1/V110</f>
        <v>27.759271596713301</v>
      </c>
      <c r="W111">
        <f>2369.53/S111</f>
        <v>27.759254920337398</v>
      </c>
    </row>
    <row r="112" spans="1:24" ht="47.25">
      <c r="A112" s="992">
        <f>A111+1</f>
        <v>96</v>
      </c>
      <c r="B112" s="874" t="s">
        <v>2814</v>
      </c>
      <c r="C112" s="287">
        <v>61.95</v>
      </c>
      <c r="D112" s="290">
        <v>1548.47</v>
      </c>
      <c r="E112" s="719">
        <f t="shared" si="78"/>
        <v>68.14500000000001</v>
      </c>
      <c r="F112" s="720">
        <f t="shared" si="79"/>
        <v>1703.3170000000002</v>
      </c>
      <c r="G112" s="721"/>
      <c r="H112" s="721"/>
      <c r="I112" s="1393">
        <v>0</v>
      </c>
      <c r="J112" s="1393">
        <v>0</v>
      </c>
      <c r="K112" s="1393">
        <v>0</v>
      </c>
      <c r="L112" s="1393">
        <v>0</v>
      </c>
      <c r="M112" s="1560">
        <f t="shared" ref="M112:M119" si="80">Q112</f>
        <v>76</v>
      </c>
      <c r="N112" s="1193">
        <f t="shared" ref="N112:N118" si="81">TRUNC(M112*V112,2)</f>
        <v>2109.6999999999998</v>
      </c>
      <c r="O112" s="1184"/>
      <c r="P112" s="1174">
        <f t="shared" si="62"/>
        <v>83.6</v>
      </c>
      <c r="Q112" s="721">
        <v>76</v>
      </c>
      <c r="R112" s="188"/>
      <c r="S112" s="721">
        <v>98.56</v>
      </c>
      <c r="T112" s="721">
        <f>AVERAGE(Q112:S112)</f>
        <v>87.28</v>
      </c>
      <c r="U112" s="1008"/>
      <c r="V112" s="1005">
        <f>V111</f>
        <v>27.759271596713301</v>
      </c>
    </row>
    <row r="113" spans="1:22" ht="47.25">
      <c r="A113" s="992">
        <f>A112+1</f>
        <v>97</v>
      </c>
      <c r="B113" s="874" t="s">
        <v>2815</v>
      </c>
      <c r="C113" s="287">
        <v>64.05</v>
      </c>
      <c r="D113" s="290">
        <v>1600.96</v>
      </c>
      <c r="E113" s="719">
        <f t="shared" si="78"/>
        <v>70.454999999999998</v>
      </c>
      <c r="F113" s="720">
        <f t="shared" si="79"/>
        <v>1761.0560000000003</v>
      </c>
      <c r="G113" s="721"/>
      <c r="H113" s="721"/>
      <c r="I113" s="1393">
        <v>0</v>
      </c>
      <c r="J113" s="1393">
        <v>0</v>
      </c>
      <c r="K113" s="1393">
        <v>0</v>
      </c>
      <c r="L113" s="1393">
        <v>0</v>
      </c>
      <c r="M113" s="1560">
        <f t="shared" si="80"/>
        <v>86</v>
      </c>
      <c r="N113" s="1193">
        <f t="shared" si="81"/>
        <v>2387.29</v>
      </c>
      <c r="O113" s="1184"/>
      <c r="P113" s="1174">
        <f t="shared" si="62"/>
        <v>94.6</v>
      </c>
      <c r="Q113" s="721">
        <v>86</v>
      </c>
      <c r="R113" s="188"/>
      <c r="S113" s="721">
        <v>107.36</v>
      </c>
      <c r="T113" s="721">
        <f>AVERAGE(Q113:S113)</f>
        <v>96.68</v>
      </c>
      <c r="U113" s="1008"/>
      <c r="V113" s="1005">
        <f t="shared" ref="V113:V121" si="82">V112</f>
        <v>27.759271596713301</v>
      </c>
    </row>
    <row r="114" spans="1:22" ht="47.25">
      <c r="A114" s="992">
        <f t="shared" ref="A114:A119" si="83">A113+1</f>
        <v>98</v>
      </c>
      <c r="B114" s="874" t="s">
        <v>2816</v>
      </c>
      <c r="C114" s="287"/>
      <c r="D114" s="290"/>
      <c r="E114" s="719"/>
      <c r="F114" s="720"/>
      <c r="G114" s="721"/>
      <c r="H114" s="721"/>
      <c r="I114" s="1393">
        <v>0</v>
      </c>
      <c r="J114" s="1393">
        <v>0</v>
      </c>
      <c r="K114" s="1393">
        <v>0</v>
      </c>
      <c r="L114" s="1393">
        <v>0</v>
      </c>
      <c r="M114" s="1560">
        <f t="shared" si="80"/>
        <v>74</v>
      </c>
      <c r="N114" s="1193">
        <f t="shared" si="81"/>
        <v>2054.1799999999998</v>
      </c>
      <c r="O114" s="1184"/>
      <c r="P114" s="1174">
        <f t="shared" si="62"/>
        <v>81.400000000000006</v>
      </c>
      <c r="Q114" s="721">
        <v>74</v>
      </c>
      <c r="R114" s="188"/>
      <c r="S114" s="721">
        <v>108.64</v>
      </c>
      <c r="T114" s="721">
        <f t="shared" ref="T114:T119" si="84">AVERAGE(Q114:S114)</f>
        <v>91.32</v>
      </c>
      <c r="U114" s="1008"/>
      <c r="V114" s="1005">
        <f t="shared" si="82"/>
        <v>27.759271596713301</v>
      </c>
    </row>
    <row r="115" spans="1:22" ht="47.25">
      <c r="A115" s="992">
        <f t="shared" si="83"/>
        <v>99</v>
      </c>
      <c r="B115" s="874" t="s">
        <v>2817</v>
      </c>
      <c r="C115" s="287"/>
      <c r="D115" s="290"/>
      <c r="E115" s="719"/>
      <c r="F115" s="720"/>
      <c r="G115" s="721"/>
      <c r="H115" s="721"/>
      <c r="I115" s="1393">
        <v>0</v>
      </c>
      <c r="J115" s="1393">
        <v>0</v>
      </c>
      <c r="K115" s="1393">
        <v>0</v>
      </c>
      <c r="L115" s="1393">
        <v>0</v>
      </c>
      <c r="M115" s="1560">
        <f t="shared" si="80"/>
        <v>90</v>
      </c>
      <c r="N115" s="1193">
        <f t="shared" si="81"/>
        <v>2498.33</v>
      </c>
      <c r="O115" s="1184"/>
      <c r="P115" s="1174">
        <f t="shared" si="62"/>
        <v>99</v>
      </c>
      <c r="Q115" s="721">
        <v>90</v>
      </c>
      <c r="R115" s="188"/>
      <c r="S115" s="721">
        <v>125.44</v>
      </c>
      <c r="T115" s="721">
        <f t="shared" si="84"/>
        <v>107.72</v>
      </c>
      <c r="U115" s="1008"/>
      <c r="V115" s="1005">
        <f t="shared" si="82"/>
        <v>27.759271596713301</v>
      </c>
    </row>
    <row r="116" spans="1:22" ht="47.25">
      <c r="A116" s="992">
        <f t="shared" si="83"/>
        <v>100</v>
      </c>
      <c r="B116" s="874" t="s">
        <v>2818</v>
      </c>
      <c r="C116" s="287"/>
      <c r="D116" s="290"/>
      <c r="E116" s="719"/>
      <c r="F116" s="720"/>
      <c r="G116" s="721"/>
      <c r="H116" s="721"/>
      <c r="I116" s="1393">
        <v>0</v>
      </c>
      <c r="J116" s="1393">
        <v>0</v>
      </c>
      <c r="K116" s="1393">
        <v>0</v>
      </c>
      <c r="L116" s="1393">
        <v>0</v>
      </c>
      <c r="M116" s="1560">
        <f t="shared" si="80"/>
        <v>103</v>
      </c>
      <c r="N116" s="1193">
        <f t="shared" si="81"/>
        <v>2859.2</v>
      </c>
      <c r="O116" s="1184"/>
      <c r="P116" s="1174">
        <f t="shared" si="62"/>
        <v>113.3</v>
      </c>
      <c r="Q116" s="721">
        <v>103</v>
      </c>
      <c r="R116" s="188"/>
      <c r="S116" s="721">
        <v>136.63999999999999</v>
      </c>
      <c r="T116" s="721">
        <f t="shared" si="84"/>
        <v>119.82</v>
      </c>
      <c r="U116" s="1008"/>
      <c r="V116" s="1005">
        <f t="shared" si="82"/>
        <v>27.759271596713301</v>
      </c>
    </row>
    <row r="117" spans="1:22" ht="47.25">
      <c r="A117" s="992">
        <f t="shared" si="83"/>
        <v>101</v>
      </c>
      <c r="B117" s="874" t="s">
        <v>2819</v>
      </c>
      <c r="C117" s="287"/>
      <c r="D117" s="290"/>
      <c r="E117" s="719"/>
      <c r="F117" s="720"/>
      <c r="G117" s="721"/>
      <c r="H117" s="721"/>
      <c r="I117" s="1393">
        <v>0</v>
      </c>
      <c r="J117" s="1393">
        <v>0</v>
      </c>
      <c r="K117" s="1393">
        <v>0</v>
      </c>
      <c r="L117" s="1393">
        <v>0</v>
      </c>
      <c r="M117" s="1560">
        <f t="shared" si="80"/>
        <v>103</v>
      </c>
      <c r="N117" s="1193">
        <f t="shared" si="81"/>
        <v>2859.2</v>
      </c>
      <c r="O117" s="1184"/>
      <c r="P117" s="1174">
        <f t="shared" si="62"/>
        <v>113.3</v>
      </c>
      <c r="Q117" s="721">
        <v>103</v>
      </c>
      <c r="R117" s="188"/>
      <c r="S117" s="721">
        <v>170.8</v>
      </c>
      <c r="T117" s="721">
        <f t="shared" si="84"/>
        <v>136.9</v>
      </c>
      <c r="U117" s="1008"/>
      <c r="V117" s="1005">
        <f t="shared" si="82"/>
        <v>27.759271596713301</v>
      </c>
    </row>
    <row r="118" spans="1:22" ht="47.25">
      <c r="A118" s="992">
        <f t="shared" si="83"/>
        <v>102</v>
      </c>
      <c r="B118" s="874" t="s">
        <v>2820</v>
      </c>
      <c r="C118" s="287"/>
      <c r="D118" s="290"/>
      <c r="E118" s="719"/>
      <c r="F118" s="720"/>
      <c r="G118" s="721"/>
      <c r="H118" s="721"/>
      <c r="I118" s="1393">
        <v>0</v>
      </c>
      <c r="J118" s="1393">
        <v>0</v>
      </c>
      <c r="K118" s="1393">
        <v>0</v>
      </c>
      <c r="L118" s="1393">
        <v>0</v>
      </c>
      <c r="M118" s="1560">
        <f t="shared" si="80"/>
        <v>124</v>
      </c>
      <c r="N118" s="1193">
        <f t="shared" si="81"/>
        <v>3442.14</v>
      </c>
      <c r="O118" s="1184"/>
      <c r="P118" s="1174">
        <f t="shared" si="62"/>
        <v>136.4</v>
      </c>
      <c r="Q118" s="721">
        <v>124</v>
      </c>
      <c r="R118" s="188"/>
      <c r="S118" s="721">
        <v>184.8</v>
      </c>
      <c r="T118" s="721">
        <f t="shared" si="84"/>
        <v>154.4</v>
      </c>
      <c r="U118" s="1008"/>
      <c r="V118" s="1005">
        <f t="shared" si="82"/>
        <v>27.759271596713301</v>
      </c>
    </row>
    <row r="119" spans="1:22" ht="47.25">
      <c r="A119" s="992">
        <f t="shared" si="83"/>
        <v>103</v>
      </c>
      <c r="B119" s="874" t="s">
        <v>2821</v>
      </c>
      <c r="C119" s="287"/>
      <c r="D119" s="290"/>
      <c r="E119" s="719"/>
      <c r="F119" s="720"/>
      <c r="G119" s="721"/>
      <c r="H119" s="721"/>
      <c r="I119" s="1393">
        <v>0</v>
      </c>
      <c r="J119" s="1393">
        <v>0</v>
      </c>
      <c r="K119" s="1393">
        <v>0</v>
      </c>
      <c r="L119" s="1393">
        <v>0</v>
      </c>
      <c r="M119" s="1560">
        <f t="shared" si="80"/>
        <v>141</v>
      </c>
      <c r="N119" s="1193">
        <f>TRUNC(M119*V119,2)</f>
        <v>3914.05</v>
      </c>
      <c r="O119" s="1184"/>
      <c r="P119" s="1174">
        <f t="shared" si="62"/>
        <v>155.1</v>
      </c>
      <c r="Q119" s="721">
        <v>141</v>
      </c>
      <c r="R119" s="188"/>
      <c r="S119" s="721">
        <v>191.8</v>
      </c>
      <c r="T119" s="721">
        <f t="shared" si="84"/>
        <v>166.4</v>
      </c>
      <c r="U119" s="1008"/>
      <c r="V119" s="1005">
        <f t="shared" si="82"/>
        <v>27.759271596713301</v>
      </c>
    </row>
    <row r="120" spans="1:22" s="642" customFormat="1" ht="25.5">
      <c r="A120" s="995"/>
      <c r="B120" s="759" t="s">
        <v>2222</v>
      </c>
      <c r="C120" s="762"/>
      <c r="D120" s="763"/>
      <c r="E120" s="761"/>
      <c r="F120" s="756"/>
      <c r="G120" s="758"/>
      <c r="H120" s="758"/>
      <c r="I120" s="758"/>
      <c r="J120" s="758"/>
      <c r="K120" s="758"/>
      <c r="L120" s="758"/>
      <c r="M120" s="1194"/>
      <c r="N120" s="1194"/>
      <c r="O120" s="1182"/>
      <c r="P120" s="1173" t="str">
        <f>P110</f>
        <v>10% add Rup</v>
      </c>
      <c r="Q120" s="1006" t="s">
        <v>2322</v>
      </c>
      <c r="R120" s="1006" t="s">
        <v>2464</v>
      </c>
      <c r="S120" s="1006" t="s">
        <v>2468</v>
      </c>
      <c r="T120" s="1006" t="s">
        <v>2471</v>
      </c>
      <c r="U120" s="1008" t="e">
        <f t="shared" ref="U120:U145" si="85">(T120-I120)/I120</f>
        <v>#VALUE!</v>
      </c>
      <c r="V120" s="1005">
        <f t="shared" si="82"/>
        <v>27.759271596713301</v>
      </c>
    </row>
    <row r="121" spans="1:22" ht="94.5">
      <c r="A121" s="992">
        <f>A119+1</f>
        <v>104</v>
      </c>
      <c r="B121" s="874" t="s">
        <v>2441</v>
      </c>
      <c r="C121" s="287">
        <v>170.1</v>
      </c>
      <c r="D121" s="290">
        <v>1063.3900000000001</v>
      </c>
      <c r="E121" s="719">
        <f t="shared" si="69"/>
        <v>187.11</v>
      </c>
      <c r="F121" s="720">
        <f t="shared" ref="F121:F176" si="86">D121*1.1</f>
        <v>1169.7290000000003</v>
      </c>
      <c r="G121" s="721">
        <v>187.11</v>
      </c>
      <c r="H121" s="721">
        <v>1169.7290000000003</v>
      </c>
      <c r="I121" s="721">
        <v>187.11</v>
      </c>
      <c r="J121" s="721">
        <v>1169.7290000000003</v>
      </c>
      <c r="K121" s="721">
        <v>187.11</v>
      </c>
      <c r="L121" s="721">
        <v>1169.7290000000003</v>
      </c>
      <c r="M121" s="1560">
        <f>Q121</f>
        <v>193</v>
      </c>
      <c r="N121" s="1273">
        <f t="shared" ref="N121:N129" si="87">TRUNC(M121*V121,2)</f>
        <v>5357.53</v>
      </c>
      <c r="O121" s="1185"/>
      <c r="P121" s="1174">
        <f>TRUNC(Q121*110%,2)</f>
        <v>212.3</v>
      </c>
      <c r="Q121" s="721">
        <v>193</v>
      </c>
      <c r="R121" s="721">
        <v>130</v>
      </c>
      <c r="S121" s="721">
        <v>321</v>
      </c>
      <c r="T121" s="721">
        <f t="shared" ref="T121:T126" si="88">AVERAGE(Q121:S121)</f>
        <v>214.66666666666666</v>
      </c>
      <c r="U121" s="1008">
        <f t="shared" si="85"/>
        <v>0.1472752213492953</v>
      </c>
      <c r="V121" s="1005">
        <f t="shared" si="82"/>
        <v>27.759271596713301</v>
      </c>
    </row>
    <row r="122" spans="1:22" ht="94.5">
      <c r="A122" s="992">
        <f>A121+1</f>
        <v>105</v>
      </c>
      <c r="B122" s="874" t="s">
        <v>2442</v>
      </c>
      <c r="C122" s="287">
        <v>189</v>
      </c>
      <c r="D122" s="290">
        <v>1181.54</v>
      </c>
      <c r="E122" s="719">
        <f t="shared" si="69"/>
        <v>207.9</v>
      </c>
      <c r="F122" s="720">
        <f t="shared" si="86"/>
        <v>1299.694</v>
      </c>
      <c r="G122" s="721">
        <v>207.9</v>
      </c>
      <c r="H122" s="721">
        <v>1299.694</v>
      </c>
      <c r="I122" s="721">
        <v>207.9</v>
      </c>
      <c r="J122" s="721">
        <v>1299.694</v>
      </c>
      <c r="K122" s="721">
        <v>207.9</v>
      </c>
      <c r="L122" s="721">
        <v>1299.694</v>
      </c>
      <c r="M122" s="1560">
        <f t="shared" ref="M122:M126" si="89">Q122</f>
        <v>213</v>
      </c>
      <c r="N122" s="1273">
        <f t="shared" si="87"/>
        <v>1331.57</v>
      </c>
      <c r="O122" s="1184"/>
      <c r="P122" s="1174">
        <f t="shared" si="62"/>
        <v>234.3</v>
      </c>
      <c r="Q122" s="721">
        <v>213</v>
      </c>
      <c r="R122" s="721">
        <v>140</v>
      </c>
      <c r="S122" s="721">
        <v>351</v>
      </c>
      <c r="T122" s="721">
        <f t="shared" si="88"/>
        <v>234.66666666666666</v>
      </c>
      <c r="U122" s="1008">
        <f t="shared" si="85"/>
        <v>0.12874779541446202</v>
      </c>
      <c r="V122" s="1005">
        <f t="shared" ref="V122:V130" si="90">J122/I122</f>
        <v>6.2515343915343911</v>
      </c>
    </row>
    <row r="123" spans="1:22" ht="94.5">
      <c r="A123" s="992">
        <f t="shared" ref="A123:A126" si="91">A122+1</f>
        <v>106</v>
      </c>
      <c r="B123" s="874" t="s">
        <v>2443</v>
      </c>
      <c r="C123" s="287">
        <v>212.1</v>
      </c>
      <c r="D123" s="290">
        <v>1325.96</v>
      </c>
      <c r="E123" s="719">
        <f t="shared" si="69"/>
        <v>233.31</v>
      </c>
      <c r="F123" s="720">
        <f t="shared" si="86"/>
        <v>1458.5560000000003</v>
      </c>
      <c r="G123" s="721">
        <v>233.31</v>
      </c>
      <c r="H123" s="721">
        <v>1458.5560000000003</v>
      </c>
      <c r="I123" s="721">
        <v>233.31</v>
      </c>
      <c r="J123" s="721">
        <v>1458.5560000000003</v>
      </c>
      <c r="K123" s="721">
        <v>233.31</v>
      </c>
      <c r="L123" s="721">
        <v>1458.5560000000003</v>
      </c>
      <c r="M123" s="1560">
        <f t="shared" si="89"/>
        <v>238</v>
      </c>
      <c r="N123" s="1273">
        <f>TRUNC(M123*V123,2)</f>
        <v>1487.87</v>
      </c>
      <c r="O123" s="1184"/>
      <c r="P123" s="1174">
        <f t="shared" si="62"/>
        <v>261.8</v>
      </c>
      <c r="Q123" s="721">
        <v>238</v>
      </c>
      <c r="R123" s="721">
        <v>160</v>
      </c>
      <c r="S123" s="721">
        <v>388.5</v>
      </c>
      <c r="T123" s="721">
        <f t="shared" si="88"/>
        <v>262.16666666666669</v>
      </c>
      <c r="U123" s="1008">
        <f t="shared" si="85"/>
        <v>0.12368379695112375</v>
      </c>
      <c r="V123" s="1005">
        <f t="shared" si="90"/>
        <v>6.2515794436586525</v>
      </c>
    </row>
    <row r="124" spans="1:22" ht="94.5">
      <c r="A124" s="992">
        <f t="shared" si="91"/>
        <v>107</v>
      </c>
      <c r="B124" s="874" t="s">
        <v>2444</v>
      </c>
      <c r="C124" s="287"/>
      <c r="D124" s="290"/>
      <c r="E124" s="752" t="s">
        <v>2160</v>
      </c>
      <c r="F124" s="752" t="s">
        <v>2160</v>
      </c>
      <c r="G124" s="721">
        <v>375.4</v>
      </c>
      <c r="H124" s="721">
        <v>2346.84</v>
      </c>
      <c r="I124" s="721">
        <v>375.4</v>
      </c>
      <c r="J124" s="721">
        <v>2346.84</v>
      </c>
      <c r="K124" s="721">
        <v>375.4</v>
      </c>
      <c r="L124" s="721">
        <v>2346.84</v>
      </c>
      <c r="M124" s="1560">
        <f t="shared" si="89"/>
        <v>370</v>
      </c>
      <c r="N124" s="1273">
        <f t="shared" si="87"/>
        <v>2313.08</v>
      </c>
      <c r="O124" s="1184"/>
      <c r="P124" s="1174">
        <f t="shared" si="62"/>
        <v>407</v>
      </c>
      <c r="Q124" s="721">
        <v>370</v>
      </c>
      <c r="R124" s="188"/>
      <c r="S124" s="721">
        <v>470.8</v>
      </c>
      <c r="T124" s="721">
        <f t="shared" si="88"/>
        <v>420.4</v>
      </c>
      <c r="U124" s="1008">
        <f t="shared" si="85"/>
        <v>0.11987213638785296</v>
      </c>
      <c r="V124" s="1005">
        <f t="shared" si="90"/>
        <v>6.2515716568993085</v>
      </c>
    </row>
    <row r="125" spans="1:22" ht="94.5">
      <c r="A125" s="992">
        <f t="shared" si="91"/>
        <v>108</v>
      </c>
      <c r="B125" s="874" t="s">
        <v>2445</v>
      </c>
      <c r="C125" s="287"/>
      <c r="D125" s="290"/>
      <c r="E125" s="752" t="s">
        <v>2160</v>
      </c>
      <c r="F125" s="752" t="s">
        <v>2160</v>
      </c>
      <c r="G125" s="721">
        <v>425.4</v>
      </c>
      <c r="H125" s="721">
        <v>2659.41</v>
      </c>
      <c r="I125" s="721">
        <v>425.4</v>
      </c>
      <c r="J125" s="721">
        <v>2659.41</v>
      </c>
      <c r="K125" s="721">
        <v>425.4</v>
      </c>
      <c r="L125" s="721">
        <v>2659.41</v>
      </c>
      <c r="M125" s="1560">
        <f t="shared" si="89"/>
        <v>430</v>
      </c>
      <c r="N125" s="1273">
        <f>TRUNC(M125*V125,2)</f>
        <v>2688.16</v>
      </c>
      <c r="O125" s="1184"/>
      <c r="P125" s="1174">
        <f t="shared" si="62"/>
        <v>473</v>
      </c>
      <c r="Q125" s="721">
        <v>430</v>
      </c>
      <c r="R125" s="188"/>
      <c r="S125" s="721">
        <v>514.79999999999995</v>
      </c>
      <c r="T125" s="721">
        <f t="shared" si="88"/>
        <v>472.4</v>
      </c>
      <c r="U125" s="1008">
        <f t="shared" si="85"/>
        <v>0.11048425011753644</v>
      </c>
      <c r="V125" s="1005">
        <f t="shared" si="90"/>
        <v>6.2515514809590975</v>
      </c>
    </row>
    <row r="126" spans="1:22" ht="94.5">
      <c r="A126" s="992">
        <f t="shared" si="91"/>
        <v>109</v>
      </c>
      <c r="B126" s="874" t="s">
        <v>2446</v>
      </c>
      <c r="C126" s="287"/>
      <c r="D126" s="290"/>
      <c r="E126" s="752" t="s">
        <v>2160</v>
      </c>
      <c r="F126" s="752" t="s">
        <v>2160</v>
      </c>
      <c r="G126" s="721">
        <v>475.4</v>
      </c>
      <c r="H126" s="721">
        <v>2971.99</v>
      </c>
      <c r="I126" s="721">
        <v>475.4</v>
      </c>
      <c r="J126" s="721">
        <v>2971.99</v>
      </c>
      <c r="K126" s="721">
        <v>475.4</v>
      </c>
      <c r="L126" s="721">
        <v>2971.99</v>
      </c>
      <c r="M126" s="1560">
        <f t="shared" si="89"/>
        <v>470</v>
      </c>
      <c r="N126" s="1273">
        <f t="shared" si="87"/>
        <v>2938.23</v>
      </c>
      <c r="O126" s="1184"/>
      <c r="P126" s="1174">
        <f>TRUNC(Q126*110%,2)</f>
        <v>517</v>
      </c>
      <c r="Q126" s="721">
        <v>470</v>
      </c>
      <c r="R126" s="188"/>
      <c r="S126" s="721">
        <v>558.79999999999995</v>
      </c>
      <c r="T126" s="721">
        <f t="shared" si="88"/>
        <v>514.4</v>
      </c>
      <c r="U126" s="1008">
        <f t="shared" si="85"/>
        <v>8.2036180058897776E-2</v>
      </c>
      <c r="V126" s="1005">
        <f t="shared" si="90"/>
        <v>6.2515565839293226</v>
      </c>
    </row>
    <row r="127" spans="1:22" s="642" customFormat="1" ht="19.5">
      <c r="A127" s="995"/>
      <c r="B127" s="759" t="s">
        <v>2221</v>
      </c>
      <c r="C127" s="762"/>
      <c r="D127" s="763"/>
      <c r="E127" s="761"/>
      <c r="F127" s="756"/>
      <c r="G127" s="758"/>
      <c r="H127" s="758"/>
      <c r="I127" s="758"/>
      <c r="J127" s="758"/>
      <c r="K127" s="758"/>
      <c r="L127" s="758"/>
      <c r="M127" s="1194"/>
      <c r="N127" s="1194"/>
      <c r="O127" s="1182"/>
      <c r="P127" s="1174" t="str">
        <f>P120</f>
        <v>10% add Rup</v>
      </c>
      <c r="Q127" s="1006" t="s">
        <v>2322</v>
      </c>
      <c r="R127" s="1006" t="s">
        <v>2464</v>
      </c>
      <c r="S127" s="1006" t="s">
        <v>2468</v>
      </c>
      <c r="T127" s="1006" t="s">
        <v>2471</v>
      </c>
      <c r="U127" s="1008" t="e">
        <f t="shared" si="85"/>
        <v>#VALUE!</v>
      </c>
      <c r="V127" s="1005" t="e">
        <f t="shared" si="90"/>
        <v>#DIV/0!</v>
      </c>
    </row>
    <row r="128" spans="1:22" ht="94.5">
      <c r="A128" s="992">
        <f>A126+1</f>
        <v>110</v>
      </c>
      <c r="B128" s="874" t="s">
        <v>2389</v>
      </c>
      <c r="C128" s="287">
        <v>1023.75</v>
      </c>
      <c r="D128" s="290">
        <v>1068.51</v>
      </c>
      <c r="E128" s="719">
        <f>C128*1.1</f>
        <v>1126.125</v>
      </c>
      <c r="F128" s="720">
        <f t="shared" si="86"/>
        <v>1175.3610000000001</v>
      </c>
      <c r="G128" s="721">
        <v>1126.125</v>
      </c>
      <c r="H128" s="721">
        <v>1175.3610000000001</v>
      </c>
      <c r="I128" s="721">
        <v>1126.125</v>
      </c>
      <c r="J128" s="721">
        <v>1175.3610000000001</v>
      </c>
      <c r="K128" s="721">
        <v>1099.7490000000003</v>
      </c>
      <c r="L128" s="721">
        <v>1147.83</v>
      </c>
      <c r="M128" s="1560">
        <f>Q128</f>
        <v>1153</v>
      </c>
      <c r="N128" s="1273">
        <f t="shared" si="87"/>
        <v>1203.4100000000001</v>
      </c>
      <c r="O128" s="1185"/>
      <c r="P128" s="1174">
        <f>TRUNC(Q128*110%,2)</f>
        <v>1268.3</v>
      </c>
      <c r="Q128" s="721">
        <v>1153</v>
      </c>
      <c r="R128" s="188"/>
      <c r="S128" s="721">
        <v>2012.4</v>
      </c>
      <c r="T128" s="721">
        <f>AVERAGE(Q128:S128)</f>
        <v>1582.7</v>
      </c>
      <c r="U128" s="1008">
        <f t="shared" si="85"/>
        <v>0.40543900543900546</v>
      </c>
      <c r="V128" s="1005">
        <f t="shared" si="90"/>
        <v>1.0437216117216117</v>
      </c>
    </row>
    <row r="129" spans="1:24" ht="94.5">
      <c r="A129" s="992">
        <f>A128+1</f>
        <v>111</v>
      </c>
      <c r="B129" s="874" t="s">
        <v>2390</v>
      </c>
      <c r="C129" s="286">
        <v>1128.75</v>
      </c>
      <c r="D129" s="286">
        <v>1178.0999999999999</v>
      </c>
      <c r="E129" s="719">
        <f t="shared" si="69"/>
        <v>1241.625</v>
      </c>
      <c r="F129" s="720">
        <f t="shared" si="86"/>
        <v>1295.9100000000001</v>
      </c>
      <c r="G129" s="721">
        <v>1241.625</v>
      </c>
      <c r="H129" s="721">
        <v>1295.9100000000001</v>
      </c>
      <c r="I129" s="721">
        <v>1241.625</v>
      </c>
      <c r="J129" s="721">
        <v>1295.9100000000001</v>
      </c>
      <c r="K129" s="721">
        <v>1218.1995000000002</v>
      </c>
      <c r="L129" s="721">
        <v>1271.46</v>
      </c>
      <c r="M129" s="1560">
        <f t="shared" ref="M129:M130" si="92">Q129</f>
        <v>1277</v>
      </c>
      <c r="N129" s="1273">
        <f t="shared" si="87"/>
        <v>1332.83</v>
      </c>
      <c r="O129" s="1184"/>
      <c r="P129" s="1174">
        <f t="shared" si="62"/>
        <v>1404.7</v>
      </c>
      <c r="Q129" s="721">
        <v>1277</v>
      </c>
      <c r="R129" s="188"/>
      <c r="S129" s="721">
        <v>2270.4</v>
      </c>
      <c r="T129" s="721">
        <f>AVERAGE(Q129:S129)</f>
        <v>1773.7</v>
      </c>
      <c r="U129" s="1008">
        <f t="shared" si="85"/>
        <v>0.42853115876371695</v>
      </c>
      <c r="V129" s="1005">
        <f t="shared" si="90"/>
        <v>1.0437209302325583</v>
      </c>
    </row>
    <row r="130" spans="1:24" ht="94.5">
      <c r="A130" s="992">
        <f>A129+1</f>
        <v>112</v>
      </c>
      <c r="B130" s="874" t="s">
        <v>2391</v>
      </c>
      <c r="C130" s="286">
        <v>1275.75</v>
      </c>
      <c r="D130" s="286">
        <v>1331.53</v>
      </c>
      <c r="E130" s="719">
        <f t="shared" si="69"/>
        <v>1403.325</v>
      </c>
      <c r="F130" s="720">
        <f t="shared" si="86"/>
        <v>1464.683</v>
      </c>
      <c r="G130" s="721">
        <v>1403.325</v>
      </c>
      <c r="H130" s="721">
        <v>1464.683</v>
      </c>
      <c r="I130" s="721">
        <v>1403.325</v>
      </c>
      <c r="J130" s="721">
        <v>1464.683</v>
      </c>
      <c r="K130" s="721">
        <v>1375.3005000000001</v>
      </c>
      <c r="L130" s="721">
        <v>1435.43</v>
      </c>
      <c r="M130" s="1560">
        <f t="shared" si="92"/>
        <v>1441</v>
      </c>
      <c r="N130" s="1273">
        <f>TRUNC(M130*V130,2)</f>
        <v>1504</v>
      </c>
      <c r="O130" s="1184"/>
      <c r="P130" s="1174">
        <f t="shared" si="62"/>
        <v>1585.1</v>
      </c>
      <c r="Q130" s="721">
        <v>1441</v>
      </c>
      <c r="R130" s="188"/>
      <c r="S130" s="721">
        <v>2614.4</v>
      </c>
      <c r="T130" s="721">
        <f>AVERAGE(Q130:S130)</f>
        <v>2027.7</v>
      </c>
      <c r="U130" s="1008">
        <f t="shared" si="85"/>
        <v>0.44492544492544489</v>
      </c>
      <c r="V130" s="1005">
        <f t="shared" si="90"/>
        <v>1.0437233000195962</v>
      </c>
    </row>
    <row r="131" spans="1:24" s="642" customFormat="1" ht="25.5">
      <c r="A131" s="995"/>
      <c r="B131" s="759" t="s">
        <v>2822</v>
      </c>
      <c r="C131" s="762"/>
      <c r="D131" s="763"/>
      <c r="E131" s="761"/>
      <c r="F131" s="756"/>
      <c r="G131" s="758"/>
      <c r="H131" s="758"/>
      <c r="I131" s="758"/>
      <c r="J131" s="758"/>
      <c r="K131" s="758"/>
      <c r="L131" s="758"/>
      <c r="M131" s="1194"/>
      <c r="N131" s="1194"/>
      <c r="O131" s="1182"/>
      <c r="P131" s="1173" t="str">
        <f>P127</f>
        <v>10% add Rup</v>
      </c>
      <c r="Q131" s="1006" t="s">
        <v>2322</v>
      </c>
      <c r="R131" s="1006" t="s">
        <v>2464</v>
      </c>
      <c r="S131" s="1006" t="s">
        <v>2468</v>
      </c>
      <c r="T131" s="1006" t="s">
        <v>2471</v>
      </c>
      <c r="U131" s="1008" t="e">
        <f t="shared" si="85"/>
        <v>#VALUE!</v>
      </c>
      <c r="V131" s="1005">
        <f>0.4*0.4</f>
        <v>0.16000000000000003</v>
      </c>
    </row>
    <row r="132" spans="1:24" ht="47.25">
      <c r="A132" s="992">
        <f>A130+1</f>
        <v>113</v>
      </c>
      <c r="B132" s="874" t="s">
        <v>2823</v>
      </c>
      <c r="C132" s="287">
        <v>1023.75</v>
      </c>
      <c r="D132" s="290">
        <v>1068.51</v>
      </c>
      <c r="E132" s="719">
        <f>C132*1.1</f>
        <v>1126.125</v>
      </c>
      <c r="F132" s="720">
        <f t="shared" ref="F132:F134" si="93">D132*1.1</f>
        <v>1175.3610000000001</v>
      </c>
      <c r="G132" s="721"/>
      <c r="H132" s="721"/>
      <c r="I132" s="1393">
        <v>0</v>
      </c>
      <c r="J132" s="1393">
        <v>0</v>
      </c>
      <c r="K132" s="1393">
        <v>0</v>
      </c>
      <c r="L132" s="1393">
        <v>0</v>
      </c>
      <c r="M132" s="1560">
        <f>Q132</f>
        <v>257</v>
      </c>
      <c r="N132" s="1273">
        <f t="shared" ref="N132:N134" si="94">TRUNC(M132*V132,2)</f>
        <v>1606.25</v>
      </c>
      <c r="O132" s="1185"/>
      <c r="P132" s="1174">
        <f>TRUNC(Q132*110%,2)</f>
        <v>282.7</v>
      </c>
      <c r="Q132" s="721">
        <v>257</v>
      </c>
      <c r="R132" s="188"/>
      <c r="S132" s="721">
        <v>353.8</v>
      </c>
      <c r="T132" s="721">
        <f>AVERAGE(Q132:S132)</f>
        <v>305.39999999999998</v>
      </c>
      <c r="U132" s="1008" t="e">
        <f t="shared" si="85"/>
        <v>#DIV/0!</v>
      </c>
      <c r="V132" s="1005">
        <f>1/V131</f>
        <v>6.2499999999999991</v>
      </c>
    </row>
    <row r="133" spans="1:24" ht="47.25">
      <c r="A133" s="992">
        <f>A132+1</f>
        <v>114</v>
      </c>
      <c r="B133" s="874" t="s">
        <v>2824</v>
      </c>
      <c r="C133" s="286">
        <v>1128.75</v>
      </c>
      <c r="D133" s="286">
        <v>1178.0999999999999</v>
      </c>
      <c r="E133" s="719">
        <f t="shared" ref="E133:E134" si="95">C133*1.1</f>
        <v>1241.625</v>
      </c>
      <c r="F133" s="720">
        <f t="shared" si="93"/>
        <v>1295.9100000000001</v>
      </c>
      <c r="G133" s="721"/>
      <c r="H133" s="721"/>
      <c r="I133" s="1393">
        <v>0</v>
      </c>
      <c r="J133" s="1393">
        <v>0</v>
      </c>
      <c r="K133" s="1393">
        <v>0</v>
      </c>
      <c r="L133" s="1393">
        <v>0</v>
      </c>
      <c r="M133" s="1560">
        <f t="shared" ref="M133:M135" si="96">Q133</f>
        <v>314</v>
      </c>
      <c r="N133" s="1273">
        <f t="shared" si="94"/>
        <v>1962.5</v>
      </c>
      <c r="O133" s="1184"/>
      <c r="P133" s="1174">
        <f t="shared" si="62"/>
        <v>345.4</v>
      </c>
      <c r="Q133" s="721">
        <v>314</v>
      </c>
      <c r="R133" s="188"/>
      <c r="S133" s="721">
        <v>426.3</v>
      </c>
      <c r="T133" s="721">
        <f>AVERAGE(Q133:S133)</f>
        <v>370.15</v>
      </c>
      <c r="U133" s="1008" t="e">
        <f t="shared" si="85"/>
        <v>#DIV/0!</v>
      </c>
      <c r="V133" s="1005">
        <f>V132</f>
        <v>6.2499999999999991</v>
      </c>
    </row>
    <row r="134" spans="1:24" ht="47.25">
      <c r="A134" s="992">
        <f>A133+1</f>
        <v>115</v>
      </c>
      <c r="B134" s="874" t="s">
        <v>2825</v>
      </c>
      <c r="C134" s="286">
        <v>1275.75</v>
      </c>
      <c r="D134" s="286">
        <v>1331.53</v>
      </c>
      <c r="E134" s="719">
        <f t="shared" si="95"/>
        <v>1403.325</v>
      </c>
      <c r="F134" s="720">
        <f t="shared" si="93"/>
        <v>1464.683</v>
      </c>
      <c r="G134" s="721"/>
      <c r="H134" s="721"/>
      <c r="I134" s="1393">
        <v>0</v>
      </c>
      <c r="J134" s="1393">
        <v>0</v>
      </c>
      <c r="K134" s="1393">
        <v>0</v>
      </c>
      <c r="L134" s="1393">
        <v>0</v>
      </c>
      <c r="M134" s="1560">
        <f t="shared" si="96"/>
        <v>315</v>
      </c>
      <c r="N134" s="1273">
        <f t="shared" si="94"/>
        <v>1968.75</v>
      </c>
      <c r="O134" s="1184"/>
      <c r="P134" s="1174">
        <f t="shared" si="62"/>
        <v>346.5</v>
      </c>
      <c r="Q134" s="721">
        <v>315</v>
      </c>
      <c r="R134" s="188"/>
      <c r="S134" s="721">
        <v>536.79999999999995</v>
      </c>
      <c r="T134" s="721">
        <f>AVERAGE(Q134:S134)</f>
        <v>425.9</v>
      </c>
      <c r="U134" s="1008" t="e">
        <f t="shared" si="85"/>
        <v>#DIV/0!</v>
      </c>
      <c r="V134" s="1005">
        <f t="shared" ref="V134:V135" si="97">V133</f>
        <v>6.2499999999999991</v>
      </c>
    </row>
    <row r="135" spans="1:24" ht="47.25">
      <c r="A135" s="992">
        <f>A134+1</f>
        <v>116</v>
      </c>
      <c r="B135" s="874" t="s">
        <v>2826</v>
      </c>
      <c r="C135" s="286"/>
      <c r="D135" s="286"/>
      <c r="E135" s="719"/>
      <c r="F135" s="720"/>
      <c r="G135" s="721"/>
      <c r="H135" s="721"/>
      <c r="I135" s="1393">
        <v>0</v>
      </c>
      <c r="J135" s="1393">
        <v>0</v>
      </c>
      <c r="K135" s="1393">
        <v>0</v>
      </c>
      <c r="L135" s="1393">
        <v>0</v>
      </c>
      <c r="M135" s="1560">
        <f t="shared" si="96"/>
        <v>404</v>
      </c>
      <c r="N135" s="1273">
        <f>TRUNC(M135*V135,2)</f>
        <v>2525</v>
      </c>
      <c r="O135" s="1184"/>
      <c r="P135" s="1174">
        <f t="shared" si="62"/>
        <v>444.4</v>
      </c>
      <c r="Q135" s="721">
        <v>404</v>
      </c>
      <c r="R135" s="188"/>
      <c r="S135" s="721">
        <v>580.79999999999995</v>
      </c>
      <c r="T135" s="721">
        <f>AVERAGE(Q135:S135)</f>
        <v>492.4</v>
      </c>
      <c r="U135" s="1008" t="e">
        <f t="shared" si="85"/>
        <v>#DIV/0!</v>
      </c>
      <c r="V135" s="1005">
        <f t="shared" si="97"/>
        <v>6.2499999999999991</v>
      </c>
    </row>
    <row r="136" spans="1:24" s="642" customFormat="1" ht="25.5">
      <c r="A136" s="995"/>
      <c r="B136" s="759" t="s">
        <v>2220</v>
      </c>
      <c r="C136" s="760"/>
      <c r="D136" s="760"/>
      <c r="E136" s="761"/>
      <c r="F136" s="756"/>
      <c r="G136" s="758"/>
      <c r="H136" s="758"/>
      <c r="I136" s="758"/>
      <c r="J136" s="758"/>
      <c r="K136" s="758"/>
      <c r="L136" s="758"/>
      <c r="M136" s="1194"/>
      <c r="N136" s="1194"/>
      <c r="O136" s="1182"/>
      <c r="P136" s="1173" t="str">
        <f>P131</f>
        <v>10% add Rup</v>
      </c>
      <c r="Q136" s="1006" t="s">
        <v>2322</v>
      </c>
      <c r="R136" s="1006" t="s">
        <v>2464</v>
      </c>
      <c r="S136" s="1006" t="s">
        <v>2468</v>
      </c>
      <c r="T136" s="1006" t="s">
        <v>2471</v>
      </c>
      <c r="U136" s="1008" t="e">
        <f t="shared" si="85"/>
        <v>#VALUE!</v>
      </c>
      <c r="V136" s="1005" t="e">
        <f>J136/I136</f>
        <v>#DIV/0!</v>
      </c>
    </row>
    <row r="137" spans="1:24" ht="47.25">
      <c r="A137" s="992">
        <f>A135+1</f>
        <v>117</v>
      </c>
      <c r="B137" s="874" t="s">
        <v>2385</v>
      </c>
      <c r="C137" s="287">
        <v>2310</v>
      </c>
      <c r="D137" s="290">
        <v>2220.67</v>
      </c>
      <c r="E137" s="719">
        <f t="shared" si="69"/>
        <v>2541</v>
      </c>
      <c r="F137" s="720">
        <f t="shared" si="86"/>
        <v>2442.7370000000001</v>
      </c>
      <c r="G137" s="721">
        <v>2541</v>
      </c>
      <c r="H137" s="721">
        <v>2442.7370000000001</v>
      </c>
      <c r="I137" s="721">
        <v>2541</v>
      </c>
      <c r="J137" s="721">
        <v>2442.7370000000001</v>
      </c>
      <c r="K137" s="721">
        <v>2493.75</v>
      </c>
      <c r="L137" s="721">
        <v>2397.31</v>
      </c>
      <c r="M137" s="1560">
        <f>Q137</f>
        <v>2613</v>
      </c>
      <c r="N137" s="1273">
        <f t="shared" ref="N137:N141" si="98">TRUNC(M137*V137,2)</f>
        <v>2511.9499999999998</v>
      </c>
      <c r="O137" s="1185"/>
      <c r="P137" s="1174">
        <f t="shared" si="62"/>
        <v>2874.3</v>
      </c>
      <c r="Q137" s="721">
        <v>2613</v>
      </c>
      <c r="R137" s="188"/>
      <c r="S137" s="721">
        <v>3229.2</v>
      </c>
      <c r="T137" s="721">
        <f>AVERAGE(Q137:S137)</f>
        <v>2921.1</v>
      </c>
      <c r="U137" s="1008">
        <f t="shared" si="85"/>
        <v>0.14958677685950408</v>
      </c>
      <c r="V137" s="1005">
        <f>J137/I137</f>
        <v>0.96132900432900437</v>
      </c>
    </row>
    <row r="138" spans="1:24" ht="47.25">
      <c r="A138" s="992">
        <f>A137+1</f>
        <v>118</v>
      </c>
      <c r="B138" s="874" t="s">
        <v>2386</v>
      </c>
      <c r="C138" s="287">
        <v>2572.5</v>
      </c>
      <c r="D138" s="290">
        <v>2473.02</v>
      </c>
      <c r="E138" s="719">
        <f t="shared" si="69"/>
        <v>2829.7500000000005</v>
      </c>
      <c r="F138" s="720">
        <f t="shared" si="86"/>
        <v>2720.3220000000001</v>
      </c>
      <c r="G138" s="721">
        <v>2829.7500000000005</v>
      </c>
      <c r="H138" s="721">
        <v>2720.3220000000001</v>
      </c>
      <c r="I138" s="721">
        <v>2829.7500000000005</v>
      </c>
      <c r="J138" s="721">
        <v>2720.3220000000001</v>
      </c>
      <c r="K138" s="721">
        <v>2743.125</v>
      </c>
      <c r="L138" s="721">
        <v>2637.04</v>
      </c>
      <c r="M138" s="1560">
        <f t="shared" ref="M138:M141" si="99">Q138</f>
        <v>2874</v>
      </c>
      <c r="N138" s="1273">
        <f t="shared" si="98"/>
        <v>2762.86</v>
      </c>
      <c r="O138" s="1184"/>
      <c r="P138" s="1174">
        <f t="shared" si="62"/>
        <v>3161.4</v>
      </c>
      <c r="Q138" s="721">
        <v>2874</v>
      </c>
      <c r="R138" s="188"/>
      <c r="S138" s="721">
        <v>3643.2</v>
      </c>
      <c r="T138" s="721">
        <f>AVERAGE(Q138:S138)</f>
        <v>3258.6</v>
      </c>
      <c r="U138" s="1008">
        <f t="shared" si="85"/>
        <v>0.15155049032600032</v>
      </c>
      <c r="V138" s="1005">
        <f>J138/I138</f>
        <v>0.96132944606413984</v>
      </c>
    </row>
    <row r="139" spans="1:24" ht="47.25">
      <c r="A139" s="992">
        <f t="shared" ref="A139:A141" si="100">A138+1</f>
        <v>119</v>
      </c>
      <c r="B139" s="874" t="s">
        <v>2387</v>
      </c>
      <c r="C139" s="287">
        <v>2782.5</v>
      </c>
      <c r="D139" s="290">
        <v>2674.9</v>
      </c>
      <c r="E139" s="719">
        <f t="shared" si="69"/>
        <v>3060.7500000000005</v>
      </c>
      <c r="F139" s="720">
        <f t="shared" si="86"/>
        <v>2942.3900000000003</v>
      </c>
      <c r="G139" s="721">
        <v>3060.7500000000005</v>
      </c>
      <c r="H139" s="721">
        <v>2942.3900000000003</v>
      </c>
      <c r="I139" s="721">
        <v>3060.7500000000005</v>
      </c>
      <c r="J139" s="721">
        <v>2942.3900000000003</v>
      </c>
      <c r="K139" s="721">
        <v>2992.5</v>
      </c>
      <c r="L139" s="721">
        <v>2876.77</v>
      </c>
      <c r="M139" s="1560">
        <f t="shared" si="99"/>
        <v>3135</v>
      </c>
      <c r="N139" s="1273">
        <f>TRUNC(M139*V139,2)</f>
        <v>3013.76</v>
      </c>
      <c r="O139" s="1184"/>
      <c r="P139" s="1174">
        <f t="shared" si="62"/>
        <v>3448.5</v>
      </c>
      <c r="Q139" s="721">
        <v>3135</v>
      </c>
      <c r="R139" s="188"/>
      <c r="S139" s="721">
        <v>3919.2</v>
      </c>
      <c r="T139" s="721">
        <f>AVERAGE(Q139:S139)</f>
        <v>3527.1</v>
      </c>
      <c r="U139" s="1008">
        <f t="shared" si="85"/>
        <v>0.15236461651555971</v>
      </c>
      <c r="V139" s="1005">
        <f>J139/I139</f>
        <v>0.96132973944294697</v>
      </c>
    </row>
    <row r="140" spans="1:24" ht="47.25">
      <c r="A140" s="992">
        <f t="shared" si="100"/>
        <v>120</v>
      </c>
      <c r="B140" s="874" t="s">
        <v>2388</v>
      </c>
      <c r="C140" s="286">
        <v>367.5</v>
      </c>
      <c r="D140" s="286">
        <v>1530.31</v>
      </c>
      <c r="E140" s="719">
        <f t="shared" si="69"/>
        <v>404.25000000000006</v>
      </c>
      <c r="F140" s="720">
        <f t="shared" si="86"/>
        <v>1683.3410000000001</v>
      </c>
      <c r="G140" s="721">
        <v>404.25000000000006</v>
      </c>
      <c r="H140" s="721">
        <v>1683.3410000000001</v>
      </c>
      <c r="I140" s="721">
        <v>404.25000000000006</v>
      </c>
      <c r="J140" s="721">
        <v>1683.3410000000001</v>
      </c>
      <c r="K140" s="721">
        <v>401.49900000000002</v>
      </c>
      <c r="L140" s="721">
        <v>1671.88</v>
      </c>
      <c r="M140" s="1560">
        <f t="shared" si="99"/>
        <v>421</v>
      </c>
      <c r="N140" s="1273">
        <f t="shared" si="98"/>
        <v>1753.08</v>
      </c>
      <c r="O140" s="1184"/>
      <c r="P140" s="1174">
        <f t="shared" si="62"/>
        <v>463.1</v>
      </c>
      <c r="Q140" s="721">
        <v>421</v>
      </c>
      <c r="R140" s="188"/>
      <c r="S140" s="721">
        <v>515.20000000000005</v>
      </c>
      <c r="T140" s="721">
        <f>AVERAGE(Q140:S140)</f>
        <v>468.1</v>
      </c>
      <c r="U140" s="1008">
        <f t="shared" si="85"/>
        <v>0.15794681508967212</v>
      </c>
      <c r="V140" s="1005">
        <f>J140/I140</f>
        <v>4.1641088435374147</v>
      </c>
      <c r="X140">
        <f>1/(0.4*0.6)</f>
        <v>4.166666666666667</v>
      </c>
    </row>
    <row r="141" spans="1:24" ht="47.25">
      <c r="A141" s="992">
        <f t="shared" si="100"/>
        <v>121</v>
      </c>
      <c r="B141" s="874" t="s">
        <v>2805</v>
      </c>
      <c r="C141" s="286"/>
      <c r="D141" s="286"/>
      <c r="E141" s="719"/>
      <c r="F141" s="720"/>
      <c r="G141" s="721"/>
      <c r="H141" s="721"/>
      <c r="I141" s="1393">
        <v>0</v>
      </c>
      <c r="J141" s="1393">
        <v>0</v>
      </c>
      <c r="K141" s="1393">
        <v>0</v>
      </c>
      <c r="L141" s="1393">
        <v>0</v>
      </c>
      <c r="M141" s="1560">
        <f t="shared" si="99"/>
        <v>474</v>
      </c>
      <c r="N141" s="1193">
        <f t="shared" si="98"/>
        <v>1973.78</v>
      </c>
      <c r="O141" s="1184"/>
      <c r="P141" s="1174">
        <f t="shared" si="62"/>
        <v>521.4</v>
      </c>
      <c r="Q141" s="721">
        <v>474</v>
      </c>
      <c r="R141" s="188"/>
      <c r="S141" s="721">
        <v>644</v>
      </c>
      <c r="T141" s="721">
        <f>AVERAGE(Q141:S141)</f>
        <v>559</v>
      </c>
      <c r="U141" s="1008" t="e">
        <f t="shared" si="85"/>
        <v>#DIV/0!</v>
      </c>
      <c r="V141" s="1005">
        <f>V140</f>
        <v>4.1641088435374147</v>
      </c>
    </row>
    <row r="142" spans="1:24" s="642" customFormat="1" ht="25.5">
      <c r="A142" s="995"/>
      <c r="B142" s="759" t="s">
        <v>2218</v>
      </c>
      <c r="C142" s="760"/>
      <c r="D142" s="760"/>
      <c r="E142" s="761"/>
      <c r="F142" s="756"/>
      <c r="G142" s="758"/>
      <c r="H142" s="758"/>
      <c r="I142" s="758"/>
      <c r="J142" s="758"/>
      <c r="K142" s="758"/>
      <c r="L142" s="758"/>
      <c r="M142" s="1194"/>
      <c r="N142" s="1194"/>
      <c r="O142" s="1182"/>
      <c r="P142" s="1173" t="str">
        <f>P136</f>
        <v>10% add Rup</v>
      </c>
      <c r="Q142" s="1006" t="s">
        <v>2322</v>
      </c>
      <c r="R142" s="1006" t="s">
        <v>2464</v>
      </c>
      <c r="S142" s="1006" t="s">
        <v>2468</v>
      </c>
      <c r="T142" s="1006" t="s">
        <v>2471</v>
      </c>
      <c r="U142" s="1008" t="e">
        <f t="shared" si="85"/>
        <v>#VALUE!</v>
      </c>
      <c r="V142" s="1005"/>
    </row>
    <row r="143" spans="1:24" ht="47.25">
      <c r="A143" s="992">
        <f>A141+1</f>
        <v>122</v>
      </c>
      <c r="B143" s="874" t="s">
        <v>2384</v>
      </c>
      <c r="C143" s="289"/>
      <c r="D143" s="289"/>
      <c r="E143" s="752" t="s">
        <v>2160</v>
      </c>
      <c r="F143" s="752" t="s">
        <v>2160</v>
      </c>
      <c r="G143" s="717">
        <v>30.3</v>
      </c>
      <c r="H143" s="718">
        <v>1075.8900000000001</v>
      </c>
      <c r="I143" s="717">
        <v>30.3</v>
      </c>
      <c r="J143" s="718">
        <v>1075.8900000000001</v>
      </c>
      <c r="K143" s="721">
        <v>30.3</v>
      </c>
      <c r="L143" s="721">
        <v>1075.8900000000001</v>
      </c>
      <c r="M143" s="1560">
        <f>TRUNC(105%*K143,2)</f>
        <v>31.81</v>
      </c>
      <c r="N143" s="1193">
        <f>TRUNC(M143*V143,2)</f>
        <v>994.06</v>
      </c>
      <c r="O143" s="1185"/>
      <c r="P143" s="1174">
        <f t="shared" ref="P143:P151" si="101">Q143*105%</f>
        <v>0</v>
      </c>
      <c r="Q143" s="721"/>
      <c r="R143" s="721">
        <v>31</v>
      </c>
      <c r="S143" s="721"/>
      <c r="T143" s="721">
        <f>AVERAGE(Q143:S143)</f>
        <v>31</v>
      </c>
      <c r="U143" s="1008">
        <f t="shared" si="85"/>
        <v>2.310231023102308E-2</v>
      </c>
      <c r="V143" s="1005">
        <f>V145</f>
        <v>31.25</v>
      </c>
    </row>
    <row r="144" spans="1:24" ht="47.25">
      <c r="A144" s="992">
        <f>A143+1</f>
        <v>123</v>
      </c>
      <c r="B144" s="874" t="s">
        <v>2383</v>
      </c>
      <c r="C144" s="289"/>
      <c r="D144" s="289"/>
      <c r="E144" s="752" t="s">
        <v>2160</v>
      </c>
      <c r="F144" s="752" t="s">
        <v>2160</v>
      </c>
      <c r="G144" s="718">
        <v>33.33</v>
      </c>
      <c r="H144" s="718">
        <v>1183.48</v>
      </c>
      <c r="I144" s="718">
        <v>33.33</v>
      </c>
      <c r="J144" s="718">
        <v>1183.48</v>
      </c>
      <c r="K144" s="721">
        <v>33.33</v>
      </c>
      <c r="L144" s="721">
        <v>1183.48</v>
      </c>
      <c r="M144" s="1560">
        <f t="shared" ref="M144:M147" si="102">TRUNC(105%*K144,2)</f>
        <v>34.99</v>
      </c>
      <c r="N144" s="1193">
        <f t="shared" ref="N144:N147" si="103">TRUNC(M144*V144,2)</f>
        <v>1093.43</v>
      </c>
      <c r="O144" s="1185"/>
      <c r="P144" s="1174">
        <f t="shared" si="101"/>
        <v>0</v>
      </c>
      <c r="Q144" s="721"/>
      <c r="R144" s="721">
        <v>33</v>
      </c>
      <c r="S144" s="721"/>
      <c r="T144" s="721">
        <f>AVERAGE(Q144:S144)</f>
        <v>33</v>
      </c>
      <c r="U144" s="1008">
        <f t="shared" si="85"/>
        <v>-9.9009900990098508E-3</v>
      </c>
      <c r="V144" s="1005">
        <f>V143</f>
        <v>31.25</v>
      </c>
    </row>
    <row r="145" spans="1:24" ht="47.25">
      <c r="A145" s="992">
        <f>A144+1</f>
        <v>124</v>
      </c>
      <c r="B145" s="874" t="s">
        <v>2382</v>
      </c>
      <c r="C145" s="289"/>
      <c r="D145" s="289"/>
      <c r="E145" s="752" t="s">
        <v>2160</v>
      </c>
      <c r="F145" s="752" t="s">
        <v>2160</v>
      </c>
      <c r="G145" s="718">
        <v>34.9</v>
      </c>
      <c r="H145" s="718">
        <v>12229.22</v>
      </c>
      <c r="I145" s="718">
        <v>34.9</v>
      </c>
      <c r="J145" s="718">
        <v>12229.22</v>
      </c>
      <c r="K145" s="721">
        <v>34.9</v>
      </c>
      <c r="L145" s="721">
        <v>12229.22</v>
      </c>
      <c r="M145" s="1560">
        <f t="shared" si="102"/>
        <v>36.64</v>
      </c>
      <c r="N145" s="1193">
        <f t="shared" si="103"/>
        <v>1145</v>
      </c>
      <c r="O145" s="1185"/>
      <c r="P145" s="1174">
        <f t="shared" si="101"/>
        <v>0</v>
      </c>
      <c r="Q145" s="721"/>
      <c r="R145" s="721">
        <v>35</v>
      </c>
      <c r="S145" s="721"/>
      <c r="T145" s="721">
        <f>AVERAGE(Q145:S145)</f>
        <v>35</v>
      </c>
      <c r="U145" s="1008">
        <f t="shared" si="85"/>
        <v>2.8653295128940235E-3</v>
      </c>
      <c r="V145" s="1005">
        <f>1/(0.2*0.16)</f>
        <v>31.25</v>
      </c>
    </row>
    <row r="146" spans="1:24" ht="47.25">
      <c r="A146" s="992">
        <f t="shared" ref="A146:A147" si="104">A145+1</f>
        <v>125</v>
      </c>
      <c r="B146" s="1052" t="s">
        <v>2532</v>
      </c>
      <c r="C146" s="289"/>
      <c r="D146" s="289"/>
      <c r="E146" s="752"/>
      <c r="F146" s="752"/>
      <c r="G146" s="1011" t="s">
        <v>2160</v>
      </c>
      <c r="H146" s="1011" t="s">
        <v>2160</v>
      </c>
      <c r="I146" s="1393">
        <v>0</v>
      </c>
      <c r="J146" s="1393">
        <v>0</v>
      </c>
      <c r="K146" s="721">
        <v>23.05</v>
      </c>
      <c r="L146" s="721">
        <v>817.12</v>
      </c>
      <c r="M146" s="1560">
        <f t="shared" si="102"/>
        <v>24.2</v>
      </c>
      <c r="N146" s="1193">
        <f t="shared" si="103"/>
        <v>806.66</v>
      </c>
      <c r="O146" s="1185"/>
      <c r="P146" s="1174" t="s">
        <v>2527</v>
      </c>
      <c r="Q146" s="721"/>
      <c r="R146" s="721"/>
      <c r="S146" s="721"/>
      <c r="T146" s="721"/>
      <c r="U146" s="1008"/>
      <c r="V146" s="1005">
        <f>1/(0.2*0.15)</f>
        <v>33.333333333333336</v>
      </c>
    </row>
    <row r="147" spans="1:24" ht="47.25">
      <c r="A147" s="992">
        <f t="shared" si="104"/>
        <v>126</v>
      </c>
      <c r="B147" s="1052" t="s">
        <v>2533</v>
      </c>
      <c r="C147" s="289"/>
      <c r="D147" s="289"/>
      <c r="E147" s="752"/>
      <c r="F147" s="752"/>
      <c r="G147" s="1011" t="s">
        <v>2160</v>
      </c>
      <c r="H147" s="1011" t="s">
        <v>2160</v>
      </c>
      <c r="I147" s="1393">
        <v>0</v>
      </c>
      <c r="J147" s="1393">
        <v>0</v>
      </c>
      <c r="K147" s="721">
        <v>28.05</v>
      </c>
      <c r="L147" s="721">
        <v>994.37</v>
      </c>
      <c r="M147" s="1560">
        <f t="shared" si="102"/>
        <v>29.45</v>
      </c>
      <c r="N147" s="1193">
        <f t="shared" si="103"/>
        <v>981.66</v>
      </c>
      <c r="O147" s="1185"/>
      <c r="P147" s="1174" t="s">
        <v>2527</v>
      </c>
      <c r="Q147" s="721"/>
      <c r="R147" s="721"/>
      <c r="S147" s="721"/>
      <c r="T147" s="721"/>
      <c r="U147" s="1008"/>
      <c r="V147" s="1005">
        <f>V146</f>
        <v>33.333333333333336</v>
      </c>
    </row>
    <row r="148" spans="1:24" s="642" customFormat="1" ht="25.5">
      <c r="A148" s="995"/>
      <c r="B148" s="754" t="s">
        <v>2219</v>
      </c>
      <c r="C148" s="755"/>
      <c r="D148" s="755"/>
      <c r="E148" s="756"/>
      <c r="F148" s="756"/>
      <c r="G148" s="757"/>
      <c r="H148" s="757"/>
      <c r="I148" s="757"/>
      <c r="J148" s="757"/>
      <c r="K148" s="758"/>
      <c r="L148" s="758"/>
      <c r="M148" s="1194"/>
      <c r="N148" s="1194"/>
      <c r="O148" s="1182"/>
      <c r="P148" s="1173" t="str">
        <f>P142</f>
        <v>10% add Rup</v>
      </c>
      <c r="Q148" s="1006" t="s">
        <v>2322</v>
      </c>
      <c r="R148" s="1006" t="s">
        <v>2464</v>
      </c>
      <c r="S148" s="1006" t="s">
        <v>2468</v>
      </c>
      <c r="T148" s="1006" t="s">
        <v>2471</v>
      </c>
      <c r="U148" s="1008" t="e">
        <f>(T148-I148)/I148</f>
        <v>#VALUE!</v>
      </c>
      <c r="V148" s="1005"/>
    </row>
    <row r="149" spans="1:24" ht="47.25">
      <c r="A149" s="992">
        <f>A147+1</f>
        <v>127</v>
      </c>
      <c r="B149" s="874" t="s">
        <v>2381</v>
      </c>
      <c r="C149" s="289"/>
      <c r="D149" s="289"/>
      <c r="E149" s="752" t="s">
        <v>2160</v>
      </c>
      <c r="F149" s="752" t="s">
        <v>2160</v>
      </c>
      <c r="G149" s="718">
        <v>22.83</v>
      </c>
      <c r="H149" s="718">
        <v>1129.99</v>
      </c>
      <c r="I149" s="718">
        <v>22.83</v>
      </c>
      <c r="J149" s="718">
        <v>1129.99</v>
      </c>
      <c r="K149" s="721">
        <v>23.971499999999999</v>
      </c>
      <c r="L149" s="721">
        <v>1186.58925</v>
      </c>
      <c r="M149" s="1560">
        <f>TRUNC(105%*K149,2)</f>
        <v>25.17</v>
      </c>
      <c r="N149" s="1273">
        <f t="shared" ref="N149:N151" si="105">TRUNC(M149*V149,2)</f>
        <v>1245.81</v>
      </c>
      <c r="O149" s="1185"/>
      <c r="P149" s="1174">
        <f t="shared" si="101"/>
        <v>0</v>
      </c>
      <c r="Q149" s="721"/>
      <c r="R149" s="721">
        <v>23</v>
      </c>
      <c r="S149" s="721"/>
      <c r="T149" s="721">
        <f>AVERAGE(Q149:S149)</f>
        <v>23</v>
      </c>
      <c r="U149" s="1008">
        <f>(T149-I149)/I149</f>
        <v>7.4463425317565363E-3</v>
      </c>
      <c r="V149" s="1005">
        <f>J149/I149</f>
        <v>49.495838808585198</v>
      </c>
      <c r="X149" s="1394">
        <f>1/(0.236*0.1)</f>
        <v>42.372881355932208</v>
      </c>
    </row>
    <row r="150" spans="1:24" ht="47.25">
      <c r="A150" s="992">
        <f>A149+1</f>
        <v>128</v>
      </c>
      <c r="B150" s="874" t="s">
        <v>2380</v>
      </c>
      <c r="C150" s="289"/>
      <c r="D150" s="289"/>
      <c r="E150" s="752" t="s">
        <v>2160</v>
      </c>
      <c r="F150" s="752" t="s">
        <v>2160</v>
      </c>
      <c r="G150" s="718">
        <v>24.5</v>
      </c>
      <c r="H150" s="718">
        <v>1212.6500000000001</v>
      </c>
      <c r="I150" s="718">
        <v>24.5</v>
      </c>
      <c r="J150" s="718">
        <v>1212.6500000000001</v>
      </c>
      <c r="K150" s="721">
        <v>25.725000000000001</v>
      </c>
      <c r="L150" s="721">
        <v>1273.3875</v>
      </c>
      <c r="M150" s="1560">
        <f t="shared" ref="M150:M151" si="106">TRUNC(105%*K150,2)</f>
        <v>27.01</v>
      </c>
      <c r="N150" s="1273">
        <f t="shared" si="105"/>
        <v>1336.88</v>
      </c>
      <c r="O150" s="1185"/>
      <c r="P150" s="1174">
        <f>Q150*105%</f>
        <v>0</v>
      </c>
      <c r="Q150" s="721"/>
      <c r="R150" s="721">
        <v>26</v>
      </c>
      <c r="S150" s="721"/>
      <c r="T150" s="721">
        <f>AVERAGE(Q150:S150)</f>
        <v>26</v>
      </c>
      <c r="U150" s="1008">
        <f>(T150-I150)/I150</f>
        <v>6.1224489795918366E-2</v>
      </c>
      <c r="V150" s="1005">
        <f>J150/I150</f>
        <v>49.495918367346945</v>
      </c>
    </row>
    <row r="151" spans="1:24" ht="47.25">
      <c r="A151" s="992">
        <f>A150+1</f>
        <v>129</v>
      </c>
      <c r="B151" s="874" t="s">
        <v>2379</v>
      </c>
      <c r="C151" s="289"/>
      <c r="D151" s="289"/>
      <c r="E151" s="752" t="s">
        <v>2160</v>
      </c>
      <c r="F151" s="752" t="s">
        <v>2160</v>
      </c>
      <c r="G151" s="718">
        <v>25.6</v>
      </c>
      <c r="H151" s="718">
        <v>1267.0999999999999</v>
      </c>
      <c r="I151" s="718">
        <v>25.6</v>
      </c>
      <c r="J151" s="718">
        <v>1267.0999999999999</v>
      </c>
      <c r="K151" s="721">
        <v>26.880000000000003</v>
      </c>
      <c r="L151" s="721">
        <v>1330.5600000000002</v>
      </c>
      <c r="M151" s="1560">
        <f t="shared" si="106"/>
        <v>28.22</v>
      </c>
      <c r="N151" s="1273">
        <f t="shared" si="105"/>
        <v>1396.77</v>
      </c>
      <c r="O151" s="1185"/>
      <c r="P151" s="1174">
        <f t="shared" si="101"/>
        <v>0</v>
      </c>
      <c r="Q151" s="721"/>
      <c r="R151" s="721">
        <v>28</v>
      </c>
      <c r="S151" s="721"/>
      <c r="T151" s="721">
        <f>AVERAGE(Q151:S151)</f>
        <v>28</v>
      </c>
      <c r="U151" s="1008">
        <f>(T151-I151)/I151</f>
        <v>9.3749999999999944E-2</v>
      </c>
      <c r="V151" s="1005">
        <f>J151/I151</f>
        <v>49.496093749999993</v>
      </c>
    </row>
    <row r="152" spans="1:24" ht="40.9" customHeight="1">
      <c r="A152" s="993" t="s">
        <v>1876</v>
      </c>
      <c r="B152" s="715" t="s">
        <v>2188</v>
      </c>
      <c r="C152" s="716" t="s">
        <v>1437</v>
      </c>
      <c r="D152" s="716" t="s">
        <v>1438</v>
      </c>
      <c r="E152" s="715" t="s">
        <v>1932</v>
      </c>
      <c r="F152" s="715" t="s">
        <v>2216</v>
      </c>
      <c r="G152" s="715" t="s">
        <v>1932</v>
      </c>
      <c r="H152" s="715" t="s">
        <v>2216</v>
      </c>
      <c r="I152" s="715" t="s">
        <v>1932</v>
      </c>
      <c r="J152" s="715" t="s">
        <v>2216</v>
      </c>
      <c r="K152" s="715" t="s">
        <v>1932</v>
      </c>
      <c r="L152" s="715" t="s">
        <v>2216</v>
      </c>
      <c r="M152" s="715" t="s">
        <v>1932</v>
      </c>
      <c r="N152" s="715" t="s">
        <v>2216</v>
      </c>
      <c r="O152" s="1180"/>
      <c r="P152" s="1175"/>
      <c r="Q152" s="188"/>
      <c r="R152" s="188"/>
      <c r="S152" s="721"/>
      <c r="T152" s="721"/>
      <c r="U152" s="1008"/>
      <c r="V152" s="1005"/>
    </row>
    <row r="153" spans="1:24" ht="25.5">
      <c r="A153" s="994"/>
      <c r="B153" s="754" t="s">
        <v>2233</v>
      </c>
      <c r="C153" s="760"/>
      <c r="D153" s="760"/>
      <c r="E153" s="770"/>
      <c r="F153" s="770"/>
      <c r="G153" s="770"/>
      <c r="H153" s="770"/>
      <c r="I153" s="770"/>
      <c r="J153" s="770"/>
      <c r="K153" s="770"/>
      <c r="L153" s="770"/>
      <c r="M153" s="1274"/>
      <c r="N153" s="1274"/>
      <c r="O153" s="1181"/>
      <c r="P153" s="1173" t="str">
        <f>P148</f>
        <v>10% add Rup</v>
      </c>
      <c r="Q153" s="1006" t="s">
        <v>2322</v>
      </c>
      <c r="R153" s="1006" t="s">
        <v>2464</v>
      </c>
      <c r="S153" s="1006" t="s">
        <v>2468</v>
      </c>
      <c r="T153" s="1006" t="s">
        <v>2471</v>
      </c>
      <c r="U153" s="1008"/>
      <c r="V153" s="1005"/>
    </row>
    <row r="154" spans="1:24" ht="47.25">
      <c r="A154" s="992">
        <f>A151+1</f>
        <v>130</v>
      </c>
      <c r="B154" s="874" t="s">
        <v>2378</v>
      </c>
      <c r="C154" s="291">
        <v>304.5</v>
      </c>
      <c r="D154" s="290">
        <v>1013.99</v>
      </c>
      <c r="E154" s="719">
        <f t="shared" si="69"/>
        <v>334.95000000000005</v>
      </c>
      <c r="F154" s="720">
        <f t="shared" si="86"/>
        <v>1115.3890000000001</v>
      </c>
      <c r="G154" s="721">
        <v>334.95000000000005</v>
      </c>
      <c r="H154" s="721">
        <v>1115.3890000000001</v>
      </c>
      <c r="I154" s="721">
        <v>334.95000000000005</v>
      </c>
      <c r="J154" s="721">
        <v>1115.3890000000001</v>
      </c>
      <c r="K154" s="721">
        <v>334.95000000000005</v>
      </c>
      <c r="L154" s="721">
        <v>1115.3890000000001</v>
      </c>
      <c r="M154" s="1560">
        <f>K154</f>
        <v>334.95000000000005</v>
      </c>
      <c r="N154" s="1273">
        <f t="shared" ref="N154:N160" si="107">TRUNC(M154*V154,2)</f>
        <v>1115.3800000000001</v>
      </c>
      <c r="O154" s="1561"/>
      <c r="P154" s="1174">
        <f>TRUNC(Q154*105%,2)</f>
        <v>304.5</v>
      </c>
      <c r="Q154" s="721">
        <v>290</v>
      </c>
      <c r="R154" s="188"/>
      <c r="S154" s="721">
        <v>432.4</v>
      </c>
      <c r="T154" s="721">
        <f t="shared" ref="T154:T159" si="108">AVERAGE(Q154:S154)</f>
        <v>361.2</v>
      </c>
      <c r="U154" s="1008">
        <f t="shared" ref="U154:U167" si="109">(T154-I154)/I154</f>
        <v>7.8369905956112679E-2</v>
      </c>
      <c r="V154" s="1005">
        <f t="shared" ref="V154:V167" si="110">J154/I154</f>
        <v>3.3300164203612477</v>
      </c>
    </row>
    <row r="155" spans="1:24" ht="47.25">
      <c r="A155" s="992">
        <f t="shared" ref="A155:A161" si="111">A154+1</f>
        <v>131</v>
      </c>
      <c r="B155" s="874" t="s">
        <v>2377</v>
      </c>
      <c r="C155" s="291">
        <v>325.5</v>
      </c>
      <c r="D155" s="290">
        <v>1083.92</v>
      </c>
      <c r="E155" s="719">
        <f t="shared" si="69"/>
        <v>358.05</v>
      </c>
      <c r="F155" s="720">
        <f t="shared" si="86"/>
        <v>1192.3120000000001</v>
      </c>
      <c r="G155" s="721">
        <v>358.05</v>
      </c>
      <c r="H155" s="721">
        <v>1192.3120000000001</v>
      </c>
      <c r="I155" s="721">
        <v>358.05</v>
      </c>
      <c r="J155" s="721">
        <v>1192.3120000000001</v>
      </c>
      <c r="K155" s="721">
        <v>358.05</v>
      </c>
      <c r="L155" s="721">
        <v>1192.3120000000001</v>
      </c>
      <c r="M155" s="1560">
        <f t="shared" ref="M155:M161" si="112">K155</f>
        <v>358.05</v>
      </c>
      <c r="N155" s="1273">
        <f t="shared" si="107"/>
        <v>1192.31</v>
      </c>
      <c r="O155" s="1184"/>
      <c r="P155" s="1174">
        <f t="shared" ref="P155:P157" si="113">TRUNC(Q155*105%,2)</f>
        <v>315</v>
      </c>
      <c r="Q155" s="721">
        <v>300</v>
      </c>
      <c r="R155" s="188"/>
      <c r="S155" s="721">
        <v>478.4</v>
      </c>
      <c r="T155" s="721">
        <f t="shared" si="108"/>
        <v>389.2</v>
      </c>
      <c r="U155" s="1008">
        <f t="shared" si="109"/>
        <v>8.6999022482893387E-2</v>
      </c>
      <c r="V155" s="1005">
        <f t="shared" si="110"/>
        <v>3.3300153609831034</v>
      </c>
    </row>
    <row r="156" spans="1:24" ht="47.25">
      <c r="A156" s="992">
        <f>A155+1</f>
        <v>132</v>
      </c>
      <c r="B156" s="874" t="s">
        <v>2376</v>
      </c>
      <c r="C156" s="292">
        <v>273</v>
      </c>
      <c r="D156" s="286">
        <v>909.09</v>
      </c>
      <c r="E156" s="719">
        <f t="shared" si="69"/>
        <v>300.3</v>
      </c>
      <c r="F156" s="720">
        <f t="shared" si="86"/>
        <v>999.99900000000014</v>
      </c>
      <c r="G156" s="721">
        <v>300.3</v>
      </c>
      <c r="H156" s="721">
        <v>999.99900000000014</v>
      </c>
      <c r="I156" s="721">
        <v>300.3</v>
      </c>
      <c r="J156" s="721">
        <v>999.99900000000014</v>
      </c>
      <c r="K156" s="721">
        <v>300.3</v>
      </c>
      <c r="L156" s="721">
        <v>999.99900000000014</v>
      </c>
      <c r="M156" s="1560">
        <f t="shared" si="112"/>
        <v>300.3</v>
      </c>
      <c r="N156" s="1273">
        <f t="shared" si="107"/>
        <v>999.99</v>
      </c>
      <c r="O156" s="1184"/>
      <c r="P156" s="1174">
        <f t="shared" si="113"/>
        <v>231</v>
      </c>
      <c r="Q156" s="721">
        <v>220</v>
      </c>
      <c r="R156" s="721">
        <v>225</v>
      </c>
      <c r="S156" s="721">
        <v>341.55</v>
      </c>
      <c r="T156" s="721">
        <f t="shared" si="108"/>
        <v>262.18333333333334</v>
      </c>
      <c r="U156" s="1008">
        <f t="shared" si="109"/>
        <v>-0.12692862692862694</v>
      </c>
      <c r="V156" s="1005">
        <f t="shared" si="110"/>
        <v>3.3300000000000005</v>
      </c>
    </row>
    <row r="157" spans="1:24" ht="47.25">
      <c r="A157" s="992">
        <f t="shared" si="111"/>
        <v>133</v>
      </c>
      <c r="B157" s="874" t="s">
        <v>2375</v>
      </c>
      <c r="C157" s="292">
        <v>294</v>
      </c>
      <c r="D157" s="286">
        <v>979.02</v>
      </c>
      <c r="E157" s="719">
        <f t="shared" si="69"/>
        <v>323.40000000000003</v>
      </c>
      <c r="F157" s="720">
        <f t="shared" si="86"/>
        <v>1076.922</v>
      </c>
      <c r="G157" s="721">
        <v>323.40000000000003</v>
      </c>
      <c r="H157" s="721">
        <v>1076.922</v>
      </c>
      <c r="I157" s="721">
        <v>323.40000000000003</v>
      </c>
      <c r="J157" s="721">
        <v>1076.922</v>
      </c>
      <c r="K157" s="721">
        <v>323.40000000000003</v>
      </c>
      <c r="L157" s="721">
        <v>1076.922</v>
      </c>
      <c r="M157" s="1560">
        <f t="shared" si="112"/>
        <v>323.40000000000003</v>
      </c>
      <c r="N157" s="1273">
        <f t="shared" si="107"/>
        <v>1076.92</v>
      </c>
      <c r="O157" s="1184"/>
      <c r="P157" s="1174">
        <f t="shared" si="113"/>
        <v>241.5</v>
      </c>
      <c r="Q157" s="721">
        <v>230</v>
      </c>
      <c r="R157" s="721">
        <v>235</v>
      </c>
      <c r="S157" s="721">
        <v>376.05</v>
      </c>
      <c r="T157" s="721">
        <f t="shared" si="108"/>
        <v>280.34999999999997</v>
      </c>
      <c r="U157" s="1008">
        <f t="shared" si="109"/>
        <v>-0.1331168831168833</v>
      </c>
      <c r="V157" s="1005">
        <f t="shared" si="110"/>
        <v>3.3299999999999996</v>
      </c>
    </row>
    <row r="158" spans="1:24" ht="47.25">
      <c r="A158" s="992">
        <f>A157+1</f>
        <v>134</v>
      </c>
      <c r="B158" s="874" t="s">
        <v>2373</v>
      </c>
      <c r="C158" s="286">
        <v>304.5</v>
      </c>
      <c r="D158" s="286">
        <v>1218</v>
      </c>
      <c r="E158" s="719">
        <f t="shared" si="69"/>
        <v>334.95000000000005</v>
      </c>
      <c r="F158" s="720">
        <f t="shared" si="86"/>
        <v>1339.8000000000002</v>
      </c>
      <c r="G158" s="721">
        <v>334.95000000000005</v>
      </c>
      <c r="H158" s="721">
        <v>1339.8000000000002</v>
      </c>
      <c r="I158" s="721">
        <v>334.95000000000005</v>
      </c>
      <c r="J158" s="721">
        <v>1339.8000000000002</v>
      </c>
      <c r="K158" s="721">
        <v>334.95000000000005</v>
      </c>
      <c r="L158" s="721">
        <v>1339.8000000000002</v>
      </c>
      <c r="M158" s="1560">
        <f t="shared" si="112"/>
        <v>334.95000000000005</v>
      </c>
      <c r="N158" s="1273">
        <f t="shared" si="107"/>
        <v>1339.8</v>
      </c>
      <c r="O158" s="1185"/>
      <c r="P158" s="1174">
        <f t="shared" ref="P158:P161" si="114">Q158*105%</f>
        <v>0</v>
      </c>
      <c r="Q158" s="721"/>
      <c r="R158" s="721">
        <v>240</v>
      </c>
      <c r="S158" s="721">
        <v>457.8</v>
      </c>
      <c r="T158" s="721">
        <f t="shared" si="108"/>
        <v>348.9</v>
      </c>
      <c r="U158" s="1008">
        <f t="shared" si="109"/>
        <v>4.1648007165248337E-2</v>
      </c>
      <c r="V158" s="1005">
        <f t="shared" si="110"/>
        <v>4</v>
      </c>
      <c r="X158">
        <f>(1/0.25)</f>
        <v>4</v>
      </c>
    </row>
    <row r="159" spans="1:24" ht="47.25">
      <c r="A159" s="992">
        <f t="shared" si="111"/>
        <v>135</v>
      </c>
      <c r="B159" s="874" t="s">
        <v>2374</v>
      </c>
      <c r="C159" s="286">
        <v>325.5</v>
      </c>
      <c r="D159" s="286">
        <v>1302</v>
      </c>
      <c r="E159" s="719">
        <f t="shared" si="69"/>
        <v>358.05</v>
      </c>
      <c r="F159" s="720">
        <f t="shared" si="86"/>
        <v>1432.2</v>
      </c>
      <c r="G159" s="721">
        <v>358.05</v>
      </c>
      <c r="H159" s="721">
        <v>1432.2</v>
      </c>
      <c r="I159" s="721">
        <v>358.05</v>
      </c>
      <c r="J159" s="721">
        <v>1432.2</v>
      </c>
      <c r="K159" s="721">
        <v>358.05</v>
      </c>
      <c r="L159" s="721">
        <v>1432.2</v>
      </c>
      <c r="M159" s="1560">
        <f t="shared" si="112"/>
        <v>358.05</v>
      </c>
      <c r="N159" s="1273">
        <f t="shared" si="107"/>
        <v>1432.2</v>
      </c>
      <c r="O159" s="1185"/>
      <c r="P159" s="1174">
        <f t="shared" si="114"/>
        <v>0</v>
      </c>
      <c r="Q159" s="721"/>
      <c r="R159" s="721">
        <v>250</v>
      </c>
      <c r="S159" s="721">
        <v>478.8</v>
      </c>
      <c r="T159" s="721">
        <f t="shared" si="108"/>
        <v>364.4</v>
      </c>
      <c r="U159" s="1008">
        <f t="shared" si="109"/>
        <v>1.7734953218824092E-2</v>
      </c>
      <c r="V159" s="1005">
        <f t="shared" si="110"/>
        <v>4</v>
      </c>
    </row>
    <row r="160" spans="1:24" ht="52.15" customHeight="1">
      <c r="A160" s="992">
        <f t="shared" si="111"/>
        <v>136</v>
      </c>
      <c r="B160" s="874" t="s">
        <v>2447</v>
      </c>
      <c r="C160" s="286"/>
      <c r="D160" s="286"/>
      <c r="E160" s="752" t="s">
        <v>2160</v>
      </c>
      <c r="F160" s="752" t="s">
        <v>2160</v>
      </c>
      <c r="G160" s="721">
        <v>220</v>
      </c>
      <c r="H160" s="721">
        <v>880</v>
      </c>
      <c r="I160" s="721">
        <v>220</v>
      </c>
      <c r="J160" s="721">
        <v>880</v>
      </c>
      <c r="K160" s="721">
        <v>220</v>
      </c>
      <c r="L160" s="721">
        <v>880</v>
      </c>
      <c r="M160" s="1560">
        <f t="shared" si="112"/>
        <v>220</v>
      </c>
      <c r="N160" s="1273">
        <f t="shared" si="107"/>
        <v>880</v>
      </c>
      <c r="O160" s="1185"/>
      <c r="P160" s="1174">
        <f t="shared" si="114"/>
        <v>0</v>
      </c>
      <c r="Q160" s="721"/>
      <c r="R160" s="721">
        <v>215</v>
      </c>
      <c r="S160" s="721"/>
      <c r="T160" s="721"/>
      <c r="U160" s="1008">
        <f t="shared" si="109"/>
        <v>-1</v>
      </c>
      <c r="V160" s="1005">
        <f t="shared" si="110"/>
        <v>4</v>
      </c>
    </row>
    <row r="161" spans="1:22" ht="47.25">
      <c r="A161" s="992">
        <f t="shared" si="111"/>
        <v>137</v>
      </c>
      <c r="B161" s="874" t="s">
        <v>2448</v>
      </c>
      <c r="C161" s="286"/>
      <c r="D161" s="286"/>
      <c r="E161" s="752" t="s">
        <v>2160</v>
      </c>
      <c r="F161" s="752" t="s">
        <v>2160</v>
      </c>
      <c r="G161" s="721">
        <v>230</v>
      </c>
      <c r="H161" s="721">
        <v>920</v>
      </c>
      <c r="I161" s="721">
        <v>230</v>
      </c>
      <c r="J161" s="721">
        <v>920</v>
      </c>
      <c r="K161" s="721">
        <v>230</v>
      </c>
      <c r="L161" s="721">
        <v>920</v>
      </c>
      <c r="M161" s="1560">
        <f t="shared" si="112"/>
        <v>230</v>
      </c>
      <c r="N161" s="1273">
        <f>TRUNC(M161*V161,2)</f>
        <v>920</v>
      </c>
      <c r="O161" s="1185"/>
      <c r="P161" s="1174">
        <f t="shared" si="114"/>
        <v>0</v>
      </c>
      <c r="Q161" s="721"/>
      <c r="R161" s="721">
        <v>225</v>
      </c>
      <c r="S161" s="721"/>
      <c r="T161" s="721"/>
      <c r="U161" s="1008">
        <f t="shared" si="109"/>
        <v>-1</v>
      </c>
      <c r="V161" s="1005">
        <f t="shared" si="110"/>
        <v>4</v>
      </c>
    </row>
    <row r="162" spans="1:22" ht="25.5">
      <c r="A162" s="996"/>
      <c r="B162" s="759" t="s">
        <v>2234</v>
      </c>
      <c r="C162" s="771"/>
      <c r="D162" s="771"/>
      <c r="E162" s="765"/>
      <c r="F162" s="766"/>
      <c r="G162" s="767"/>
      <c r="H162" s="767"/>
      <c r="I162" s="767"/>
      <c r="J162" s="767"/>
      <c r="K162" s="767"/>
      <c r="L162" s="767"/>
      <c r="M162" s="1275"/>
      <c r="N162" s="1275"/>
      <c r="O162" s="1186"/>
      <c r="P162" s="1173" t="str">
        <f>P153</f>
        <v>10% add Rup</v>
      </c>
      <c r="Q162" s="1006" t="s">
        <v>2322</v>
      </c>
      <c r="R162" s="1006" t="s">
        <v>2464</v>
      </c>
      <c r="S162" s="1006" t="s">
        <v>2468</v>
      </c>
      <c r="T162" s="1006" t="s">
        <v>2471</v>
      </c>
      <c r="U162" s="1008" t="e">
        <f t="shared" si="109"/>
        <v>#VALUE!</v>
      </c>
      <c r="V162" s="1005" t="e">
        <f t="shared" si="110"/>
        <v>#DIV/0!</v>
      </c>
    </row>
    <row r="163" spans="1:22" ht="47.25">
      <c r="A163" s="992">
        <f>A161+1</f>
        <v>138</v>
      </c>
      <c r="B163" s="874" t="s">
        <v>2449</v>
      </c>
      <c r="C163" s="286"/>
      <c r="D163" s="286"/>
      <c r="E163" s="752" t="s">
        <v>2160</v>
      </c>
      <c r="F163" s="752" t="s">
        <v>2160</v>
      </c>
      <c r="G163" s="721">
        <v>240</v>
      </c>
      <c r="H163" s="721">
        <v>960</v>
      </c>
      <c r="I163" s="721">
        <v>240</v>
      </c>
      <c r="J163" s="721">
        <v>960</v>
      </c>
      <c r="K163" s="721">
        <v>240</v>
      </c>
      <c r="L163" s="721">
        <v>960</v>
      </c>
      <c r="M163" s="1193">
        <f>Q163</f>
        <v>240</v>
      </c>
      <c r="N163" s="1273">
        <f t="shared" ref="N163" si="115">TRUNC(M163*V163,2)</f>
        <v>960</v>
      </c>
      <c r="O163" s="1561"/>
      <c r="P163" s="1174">
        <f>TRUNC(Q163*110%,2)</f>
        <v>264</v>
      </c>
      <c r="Q163" s="721">
        <v>240</v>
      </c>
      <c r="R163" s="721">
        <v>250</v>
      </c>
      <c r="S163" s="721"/>
      <c r="T163" s="721"/>
      <c r="U163" s="1008">
        <f t="shared" si="109"/>
        <v>-1</v>
      </c>
      <c r="V163" s="1005">
        <f t="shared" si="110"/>
        <v>4</v>
      </c>
    </row>
    <row r="164" spans="1:22" ht="47.25">
      <c r="A164" s="992">
        <f>A163+1</f>
        <v>139</v>
      </c>
      <c r="B164" s="874" t="s">
        <v>2465</v>
      </c>
      <c r="C164" s="286"/>
      <c r="D164" s="286"/>
      <c r="E164" s="752" t="s">
        <v>2160</v>
      </c>
      <c r="F164" s="752" t="s">
        <v>2160</v>
      </c>
      <c r="G164" s="721">
        <v>250</v>
      </c>
      <c r="H164" s="721">
        <v>1000</v>
      </c>
      <c r="I164" s="721">
        <v>250</v>
      </c>
      <c r="J164" s="721">
        <v>1000</v>
      </c>
      <c r="K164" s="721">
        <v>250</v>
      </c>
      <c r="L164" s="721">
        <v>1000</v>
      </c>
      <c r="M164" s="1193">
        <f>Q164</f>
        <v>250</v>
      </c>
      <c r="N164" s="1273">
        <f>TRUNC(M164*V164,2)</f>
        <v>1000</v>
      </c>
      <c r="O164" s="1184"/>
      <c r="P164" s="1174">
        <f t="shared" ref="P164" si="116">TRUNC(Q164*110%,2)</f>
        <v>275</v>
      </c>
      <c r="Q164" s="721">
        <v>250</v>
      </c>
      <c r="R164" s="721">
        <v>260</v>
      </c>
      <c r="S164" s="721"/>
      <c r="T164" s="721"/>
      <c r="U164" s="1008">
        <f t="shared" si="109"/>
        <v>-1</v>
      </c>
      <c r="V164" s="1005">
        <f t="shared" si="110"/>
        <v>4</v>
      </c>
    </row>
    <row r="165" spans="1:22" s="642" customFormat="1" ht="25.5">
      <c r="A165" s="995"/>
      <c r="B165" s="759" t="s">
        <v>2235</v>
      </c>
      <c r="C165" s="760"/>
      <c r="D165" s="760"/>
      <c r="E165" s="761"/>
      <c r="F165" s="756"/>
      <c r="G165" s="758"/>
      <c r="H165" s="758"/>
      <c r="I165" s="758"/>
      <c r="J165" s="758"/>
      <c r="K165" s="758"/>
      <c r="L165" s="758"/>
      <c r="M165" s="1194"/>
      <c r="N165" s="1194"/>
      <c r="O165" s="1182"/>
      <c r="P165" s="1173" t="str">
        <f>P162</f>
        <v>10% add Rup</v>
      </c>
      <c r="Q165" s="1006" t="s">
        <v>2322</v>
      </c>
      <c r="R165" s="1006" t="s">
        <v>2464</v>
      </c>
      <c r="S165" s="1006" t="s">
        <v>2468</v>
      </c>
      <c r="T165" s="1006" t="s">
        <v>2471</v>
      </c>
      <c r="U165" s="1008" t="e">
        <f t="shared" si="109"/>
        <v>#VALUE!</v>
      </c>
      <c r="V165" s="1005" t="e">
        <f t="shared" si="110"/>
        <v>#DIV/0!</v>
      </c>
    </row>
    <row r="166" spans="1:22" ht="47.25">
      <c r="A166" s="992">
        <f>A164+1</f>
        <v>140</v>
      </c>
      <c r="B166" s="874" t="s">
        <v>2450</v>
      </c>
      <c r="C166" s="287">
        <v>341.25</v>
      </c>
      <c r="D166" s="290">
        <v>1136.3599999999999</v>
      </c>
      <c r="E166" s="719">
        <f t="shared" si="69"/>
        <v>375.37500000000006</v>
      </c>
      <c r="F166" s="720">
        <f t="shared" si="86"/>
        <v>1249.9960000000001</v>
      </c>
      <c r="G166" s="721">
        <v>375.37500000000006</v>
      </c>
      <c r="H166" s="721">
        <v>1249.9960000000001</v>
      </c>
      <c r="I166" s="721">
        <v>375.37500000000006</v>
      </c>
      <c r="J166" s="721">
        <v>1249.9960000000001</v>
      </c>
      <c r="K166" s="721">
        <v>375.37500000000006</v>
      </c>
      <c r="L166" s="721">
        <v>1249.9960000000001</v>
      </c>
      <c r="M166" s="1560">
        <f>Q166</f>
        <v>389</v>
      </c>
      <c r="N166" s="1273">
        <f t="shared" ref="N166:N167" si="117">TRUNC(M166*V166,2)</f>
        <v>1295.3599999999999</v>
      </c>
      <c r="O166" s="1184"/>
      <c r="P166" s="1174">
        <f t="shared" ref="P166" si="118">TRUNC(Q166*110%,2)</f>
        <v>427.9</v>
      </c>
      <c r="Q166" s="721">
        <v>389</v>
      </c>
      <c r="R166" s="188"/>
      <c r="S166" s="721">
        <v>470</v>
      </c>
      <c r="T166" s="721"/>
      <c r="U166" s="1008">
        <f t="shared" si="109"/>
        <v>-1</v>
      </c>
      <c r="V166" s="1005">
        <f t="shared" si="110"/>
        <v>3.329992673992674</v>
      </c>
    </row>
    <row r="167" spans="1:22" ht="47.25">
      <c r="A167" s="992">
        <f>A166+1</f>
        <v>141</v>
      </c>
      <c r="B167" s="874" t="s">
        <v>2462</v>
      </c>
      <c r="C167" s="287">
        <v>357</v>
      </c>
      <c r="D167" s="290">
        <v>1188.81</v>
      </c>
      <c r="E167" s="719">
        <f t="shared" si="69"/>
        <v>392.70000000000005</v>
      </c>
      <c r="F167" s="720">
        <f t="shared" si="86"/>
        <v>1307.691</v>
      </c>
      <c r="G167" s="721">
        <v>392.70000000000005</v>
      </c>
      <c r="H167" s="721">
        <v>1307.691</v>
      </c>
      <c r="I167" s="721">
        <v>392.70000000000005</v>
      </c>
      <c r="J167" s="721">
        <v>1307.691</v>
      </c>
      <c r="K167" s="721">
        <v>392.70000000000005</v>
      </c>
      <c r="L167" s="721">
        <v>1307.691</v>
      </c>
      <c r="M167" s="1560">
        <f>Q167</f>
        <v>408</v>
      </c>
      <c r="N167" s="1273">
        <f t="shared" si="117"/>
        <v>1358.64</v>
      </c>
      <c r="O167" s="1184"/>
      <c r="P167" s="1174">
        <f>TRUNC(Q167*110%,2)</f>
        <v>448.8</v>
      </c>
      <c r="Q167" s="721">
        <v>408</v>
      </c>
      <c r="R167" s="188"/>
      <c r="S167" s="721">
        <v>520</v>
      </c>
      <c r="T167" s="721"/>
      <c r="U167" s="1008">
        <f t="shared" si="109"/>
        <v>-1</v>
      </c>
      <c r="V167" s="1005">
        <f t="shared" si="110"/>
        <v>3.3299999999999996</v>
      </c>
    </row>
    <row r="168" spans="1:22" ht="19.5">
      <c r="A168" s="996"/>
      <c r="B168" s="1053" t="s">
        <v>2534</v>
      </c>
      <c r="C168" s="1054"/>
      <c r="D168" s="1055"/>
      <c r="E168" s="765"/>
      <c r="F168" s="766"/>
      <c r="G168" s="767"/>
      <c r="H168" s="767"/>
      <c r="I168" s="767"/>
      <c r="J168" s="767"/>
      <c r="K168" s="767"/>
      <c r="L168" s="767"/>
      <c r="M168" s="1275"/>
      <c r="N168" s="1275"/>
      <c r="O168" s="1186"/>
      <c r="P168" s="1174"/>
      <c r="Q168" s="721"/>
      <c r="R168" s="188"/>
      <c r="S168" s="721"/>
      <c r="T168" s="721"/>
      <c r="U168" s="1008"/>
      <c r="V168" s="1005"/>
    </row>
    <row r="169" spans="1:22" ht="63">
      <c r="A169" s="992">
        <f>A167+1</f>
        <v>142</v>
      </c>
      <c r="B169" s="1052" t="s">
        <v>2535</v>
      </c>
      <c r="C169" s="287"/>
      <c r="D169" s="290"/>
      <c r="E169" s="719"/>
      <c r="F169" s="720"/>
      <c r="G169" s="1056" t="s">
        <v>2160</v>
      </c>
      <c r="H169" s="1056" t="s">
        <v>2160</v>
      </c>
      <c r="I169" s="1393">
        <v>0</v>
      </c>
      <c r="J169" s="1393">
        <v>0</v>
      </c>
      <c r="K169" s="721">
        <v>150.66999999999999</v>
      </c>
      <c r="L169" s="721">
        <v>477</v>
      </c>
      <c r="M169" s="1193">
        <f>K169</f>
        <v>150.66999999999999</v>
      </c>
      <c r="N169" s="1193">
        <f>TRUNC(M169*R169,2)</f>
        <v>477</v>
      </c>
      <c r="O169" s="1561"/>
      <c r="P169" s="1173" t="s">
        <v>2527</v>
      </c>
      <c r="Q169" s="721"/>
      <c r="R169" s="1389">
        <f>L169/K169</f>
        <v>3.1658591624079118</v>
      </c>
      <c r="S169" s="721"/>
      <c r="T169" s="721"/>
      <c r="U169" s="1008"/>
      <c r="V169" s="1005"/>
    </row>
    <row r="170" spans="1:22" ht="63">
      <c r="A170" s="992">
        <f>A169+1</f>
        <v>143</v>
      </c>
      <c r="B170" s="1052" t="s">
        <v>2536</v>
      </c>
      <c r="C170" s="287"/>
      <c r="D170" s="290"/>
      <c r="E170" s="719"/>
      <c r="F170" s="720"/>
      <c r="G170" s="1056" t="s">
        <v>2160</v>
      </c>
      <c r="H170" s="1056" t="s">
        <v>2160</v>
      </c>
      <c r="I170" s="1393">
        <v>0</v>
      </c>
      <c r="J170" s="1393">
        <v>0</v>
      </c>
      <c r="K170" s="721">
        <v>200</v>
      </c>
      <c r="L170" s="721">
        <v>703.33</v>
      </c>
      <c r="M170" s="1193">
        <f t="shared" ref="M170:M173" si="119">K170</f>
        <v>200</v>
      </c>
      <c r="N170" s="1193">
        <f t="shared" ref="N170:N173" si="120">TRUNC(M170*R170,2)</f>
        <v>703.33</v>
      </c>
      <c r="O170" s="1184"/>
      <c r="P170" s="1173" t="s">
        <v>2527</v>
      </c>
      <c r="Q170" s="721"/>
      <c r="R170" s="1389">
        <f t="shared" ref="R170:R173" si="121">L170/K170</f>
        <v>3.5166500000000003</v>
      </c>
      <c r="S170" s="721"/>
      <c r="T170" s="721"/>
      <c r="U170" s="1008"/>
      <c r="V170" s="1005"/>
    </row>
    <row r="171" spans="1:22" ht="63">
      <c r="A171" s="992">
        <f t="shared" ref="A171:A173" si="122">A170+1</f>
        <v>144</v>
      </c>
      <c r="B171" s="1052" t="s">
        <v>2537</v>
      </c>
      <c r="C171" s="287"/>
      <c r="D171" s="290"/>
      <c r="E171" s="719"/>
      <c r="F171" s="720"/>
      <c r="G171" s="1056" t="s">
        <v>2160</v>
      </c>
      <c r="H171" s="1056" t="s">
        <v>2160</v>
      </c>
      <c r="I171" s="1393">
        <v>0</v>
      </c>
      <c r="J171" s="1393">
        <v>0</v>
      </c>
      <c r="K171" s="721">
        <v>191</v>
      </c>
      <c r="L171" s="721">
        <v>726.67</v>
      </c>
      <c r="M171" s="1193">
        <f t="shared" si="119"/>
        <v>191</v>
      </c>
      <c r="N171" s="1193">
        <f t="shared" si="120"/>
        <v>726.67</v>
      </c>
      <c r="O171" s="1184"/>
      <c r="P171" s="1173" t="s">
        <v>2527</v>
      </c>
      <c r="Q171" s="721"/>
      <c r="R171" s="1389">
        <f t="shared" si="121"/>
        <v>3.8045549738219893</v>
      </c>
      <c r="S171" s="721"/>
      <c r="T171" s="721"/>
      <c r="U171" s="1008"/>
      <c r="V171" s="1005"/>
    </row>
    <row r="172" spans="1:22" ht="63">
      <c r="A172" s="992">
        <f t="shared" si="122"/>
        <v>145</v>
      </c>
      <c r="B172" s="1052" t="s">
        <v>2538</v>
      </c>
      <c r="C172" s="287"/>
      <c r="D172" s="290"/>
      <c r="E172" s="719"/>
      <c r="F172" s="720"/>
      <c r="G172" s="1056" t="s">
        <v>2160</v>
      </c>
      <c r="H172" s="1056" t="s">
        <v>2160</v>
      </c>
      <c r="I172" s="1393">
        <v>0</v>
      </c>
      <c r="J172" s="1393">
        <v>0</v>
      </c>
      <c r="K172" s="721">
        <v>231</v>
      </c>
      <c r="L172" s="721">
        <v>860</v>
      </c>
      <c r="M172" s="1193">
        <f t="shared" si="119"/>
        <v>231</v>
      </c>
      <c r="N172" s="1193">
        <f t="shared" si="120"/>
        <v>860</v>
      </c>
      <c r="O172" s="1184"/>
      <c r="P172" s="1173" t="s">
        <v>2527</v>
      </c>
      <c r="Q172" s="721"/>
      <c r="R172" s="1389">
        <f t="shared" si="121"/>
        <v>3.722943722943723</v>
      </c>
      <c r="S172" s="721"/>
      <c r="T172" s="721"/>
      <c r="U172" s="1008"/>
      <c r="V172" s="1005"/>
    </row>
    <row r="173" spans="1:22" ht="63">
      <c r="A173" s="992">
        <f t="shared" si="122"/>
        <v>146</v>
      </c>
      <c r="B173" s="1052" t="s">
        <v>2539</v>
      </c>
      <c r="C173" s="287"/>
      <c r="D173" s="290"/>
      <c r="E173" s="719"/>
      <c r="F173" s="720"/>
      <c r="G173" s="1056" t="s">
        <v>2160</v>
      </c>
      <c r="H173" s="1056" t="s">
        <v>2160</v>
      </c>
      <c r="I173" s="1393">
        <v>0</v>
      </c>
      <c r="J173" s="1393">
        <v>0</v>
      </c>
      <c r="K173" s="721">
        <v>225</v>
      </c>
      <c r="L173" s="721">
        <v>834</v>
      </c>
      <c r="M173" s="1193">
        <f t="shared" si="119"/>
        <v>225</v>
      </c>
      <c r="N173" s="1193">
        <f t="shared" si="120"/>
        <v>834</v>
      </c>
      <c r="O173" s="1184"/>
      <c r="P173" s="1173" t="s">
        <v>2527</v>
      </c>
      <c r="Q173" s="721"/>
      <c r="R173" s="1389">
        <f t="shared" si="121"/>
        <v>3.7066666666666666</v>
      </c>
      <c r="S173" s="721"/>
      <c r="T173" s="721"/>
      <c r="U173" s="1008"/>
      <c r="V173" s="1005"/>
    </row>
    <row r="174" spans="1:22" ht="41.45" customHeight="1">
      <c r="A174" s="993" t="s">
        <v>1876</v>
      </c>
      <c r="B174" s="715" t="s">
        <v>2188</v>
      </c>
      <c r="C174" s="716" t="s">
        <v>1437</v>
      </c>
      <c r="D174" s="716" t="s">
        <v>1438</v>
      </c>
      <c r="E174" s="715" t="s">
        <v>2217</v>
      </c>
      <c r="F174" s="715" t="s">
        <v>2216</v>
      </c>
      <c r="G174" s="715" t="s">
        <v>2217</v>
      </c>
      <c r="H174" s="715" t="s">
        <v>2216</v>
      </c>
      <c r="I174" s="715" t="s">
        <v>2217</v>
      </c>
      <c r="J174" s="715" t="s">
        <v>2216</v>
      </c>
      <c r="K174" s="715" t="s">
        <v>2217</v>
      </c>
      <c r="L174" s="715" t="s">
        <v>2216</v>
      </c>
      <c r="M174" s="715" t="s">
        <v>2217</v>
      </c>
      <c r="N174" s="715" t="s">
        <v>2216</v>
      </c>
      <c r="O174" s="1180"/>
      <c r="P174" s="1175"/>
      <c r="Q174" s="188"/>
      <c r="R174" s="188"/>
      <c r="S174" s="721"/>
      <c r="T174" s="721"/>
      <c r="U174" s="1008"/>
      <c r="V174" s="1005"/>
    </row>
    <row r="175" spans="1:22" ht="25.5">
      <c r="A175" s="994"/>
      <c r="B175" s="759" t="s">
        <v>2236</v>
      </c>
      <c r="C175" s="760"/>
      <c r="D175" s="760"/>
      <c r="E175" s="770"/>
      <c r="F175" s="770"/>
      <c r="G175" s="770"/>
      <c r="H175" s="770"/>
      <c r="I175" s="770"/>
      <c r="J175" s="770"/>
      <c r="K175" s="770"/>
      <c r="L175" s="770"/>
      <c r="M175" s="1274"/>
      <c r="N175" s="1274"/>
      <c r="O175" s="1181"/>
      <c r="P175" s="1173" t="str">
        <f>P165</f>
        <v>10% add Rup</v>
      </c>
      <c r="Q175" s="1006" t="s">
        <v>2322</v>
      </c>
      <c r="R175" s="1006" t="s">
        <v>2464</v>
      </c>
      <c r="S175" s="1006" t="s">
        <v>2468</v>
      </c>
      <c r="T175" s="1006" t="s">
        <v>2471</v>
      </c>
      <c r="U175" s="1008"/>
      <c r="V175" s="1005"/>
    </row>
    <row r="176" spans="1:22" ht="47.25">
      <c r="A176" s="992">
        <f>A173+1</f>
        <v>147</v>
      </c>
      <c r="B176" s="874" t="s">
        <v>1439</v>
      </c>
      <c r="C176" s="286">
        <v>371.91000000000008</v>
      </c>
      <c r="D176" s="286">
        <v>1238.4603000000002</v>
      </c>
      <c r="E176" s="719">
        <f t="shared" si="69"/>
        <v>409.10100000000011</v>
      </c>
      <c r="F176" s="720">
        <f t="shared" si="86"/>
        <v>1362.3063300000003</v>
      </c>
      <c r="G176" s="721">
        <v>409.10100000000011</v>
      </c>
      <c r="H176" s="721">
        <v>1362.3063300000003</v>
      </c>
      <c r="I176" s="721">
        <v>409.10100000000011</v>
      </c>
      <c r="J176" s="721">
        <v>1362.3063300000003</v>
      </c>
      <c r="K176" s="721">
        <v>409.10100000000011</v>
      </c>
      <c r="L176" s="721">
        <v>1362.3063300000003</v>
      </c>
      <c r="M176" s="1193">
        <f>K176</f>
        <v>409.10100000000011</v>
      </c>
      <c r="N176" s="1273">
        <f>TRUNC(M176*V176,2)</f>
        <v>1362.3</v>
      </c>
      <c r="O176" s="1561"/>
      <c r="P176" s="1174">
        <f>TRUNC(Q176*110%,2)</f>
        <v>447.7</v>
      </c>
      <c r="Q176" s="721">
        <v>407</v>
      </c>
      <c r="R176" s="188"/>
      <c r="S176" s="721">
        <v>708.4</v>
      </c>
      <c r="T176" s="721"/>
      <c r="U176" s="1008">
        <f>(T176-I176)/I176</f>
        <v>-1</v>
      </c>
      <c r="V176" s="1005">
        <f>J176/I176</f>
        <v>3.33</v>
      </c>
    </row>
    <row r="177" spans="1:22" ht="19.5">
      <c r="A177" s="995"/>
      <c r="B177" s="999" t="s">
        <v>2463</v>
      </c>
      <c r="C177" s="760"/>
      <c r="D177" s="760"/>
      <c r="E177" s="761"/>
      <c r="F177" s="756"/>
      <c r="G177" s="1702"/>
      <c r="H177" s="1703"/>
      <c r="I177" s="1702"/>
      <c r="J177" s="1703"/>
      <c r="K177" s="1702"/>
      <c r="L177" s="1703"/>
      <c r="M177" s="1176"/>
      <c r="N177" s="1176"/>
      <c r="O177" s="1182"/>
      <c r="P177" s="1176"/>
      <c r="Q177" s="1009" t="s">
        <v>2322</v>
      </c>
      <c r="R177" s="188"/>
      <c r="S177" s="721"/>
      <c r="T177" s="721"/>
      <c r="U177" s="1008"/>
      <c r="V177" s="1005"/>
    </row>
    <row r="178" spans="1:22" ht="47.25">
      <c r="A178" s="992">
        <f>A176+1</f>
        <v>148</v>
      </c>
      <c r="B178" s="874" t="s">
        <v>1526</v>
      </c>
      <c r="C178" s="289"/>
      <c r="D178" s="289"/>
      <c r="E178" s="752" t="s">
        <v>2160</v>
      </c>
      <c r="F178" s="752" t="s">
        <v>2160</v>
      </c>
      <c r="G178" s="1692">
        <v>770</v>
      </c>
      <c r="H178" s="1698"/>
      <c r="I178" s="1692">
        <v>770</v>
      </c>
      <c r="J178" s="1698"/>
      <c r="K178" s="1692">
        <v>770</v>
      </c>
      <c r="L178" s="1693"/>
      <c r="M178" s="1692">
        <f>K178</f>
        <v>770</v>
      </c>
      <c r="N178" s="1693"/>
      <c r="O178" s="1187" t="s">
        <v>2466</v>
      </c>
      <c r="P178" s="1057"/>
      <c r="Q178" s="721">
        <v>770</v>
      </c>
      <c r="R178" s="188"/>
      <c r="S178" s="721"/>
      <c r="T178" s="721"/>
      <c r="U178" s="1008">
        <f t="shared" ref="U178:U189" si="123">(T178-I178)/I178</f>
        <v>-1</v>
      </c>
      <c r="V178" s="1005">
        <f t="shared" ref="V178:V189" si="124">J178/I178</f>
        <v>0</v>
      </c>
    </row>
    <row r="179" spans="1:22" ht="47.25">
      <c r="A179" s="992">
        <f>A178+1</f>
        <v>149</v>
      </c>
      <c r="B179" s="874" t="s">
        <v>1527</v>
      </c>
      <c r="C179" s="289"/>
      <c r="D179" s="289"/>
      <c r="E179" s="752" t="s">
        <v>2160</v>
      </c>
      <c r="F179" s="752" t="s">
        <v>2160</v>
      </c>
      <c r="G179" s="1692">
        <v>870</v>
      </c>
      <c r="H179" s="1698"/>
      <c r="I179" s="1692">
        <v>870</v>
      </c>
      <c r="J179" s="1698"/>
      <c r="K179" s="1692">
        <v>870</v>
      </c>
      <c r="L179" s="1693"/>
      <c r="M179" s="1692">
        <f t="shared" ref="M179:M189" si="125">K179</f>
        <v>870</v>
      </c>
      <c r="N179" s="1693"/>
      <c r="O179" s="1187" t="s">
        <v>2466</v>
      </c>
      <c r="P179" s="1057"/>
      <c r="Q179" s="721">
        <v>870</v>
      </c>
      <c r="R179" s="188"/>
      <c r="S179" s="721"/>
      <c r="T179" s="721"/>
      <c r="U179" s="1008">
        <f t="shared" si="123"/>
        <v>-1</v>
      </c>
      <c r="V179" s="1005">
        <f t="shared" si="124"/>
        <v>0</v>
      </c>
    </row>
    <row r="180" spans="1:22" ht="47.25">
      <c r="A180" s="992">
        <f t="shared" ref="A180" si="126">A178+1</f>
        <v>149</v>
      </c>
      <c r="B180" s="874" t="s">
        <v>1525</v>
      </c>
      <c r="C180" s="289"/>
      <c r="D180" s="289"/>
      <c r="E180" s="752" t="s">
        <v>2160</v>
      </c>
      <c r="F180" s="752" t="s">
        <v>2160</v>
      </c>
      <c r="G180" s="1692">
        <v>395</v>
      </c>
      <c r="H180" s="1698"/>
      <c r="I180" s="1692">
        <v>395</v>
      </c>
      <c r="J180" s="1698"/>
      <c r="K180" s="1692">
        <v>395</v>
      </c>
      <c r="L180" s="1693"/>
      <c r="M180" s="1692">
        <f t="shared" si="125"/>
        <v>395</v>
      </c>
      <c r="N180" s="1693"/>
      <c r="O180" s="1187" t="s">
        <v>2466</v>
      </c>
      <c r="P180" s="1057"/>
      <c r="Q180" s="721">
        <v>395</v>
      </c>
      <c r="R180" s="188"/>
      <c r="S180" s="721"/>
      <c r="T180" s="721"/>
      <c r="U180" s="1008">
        <f t="shared" si="123"/>
        <v>-1</v>
      </c>
      <c r="V180" s="1005">
        <f t="shared" si="124"/>
        <v>0</v>
      </c>
    </row>
    <row r="181" spans="1:22" ht="47.25">
      <c r="A181" s="992">
        <f t="shared" ref="A181" si="127">A180+1</f>
        <v>150</v>
      </c>
      <c r="B181" s="874" t="s">
        <v>1528</v>
      </c>
      <c r="C181" s="289"/>
      <c r="D181" s="289"/>
      <c r="E181" s="752" t="s">
        <v>2160</v>
      </c>
      <c r="F181" s="752" t="s">
        <v>2160</v>
      </c>
      <c r="G181" s="1692">
        <v>350</v>
      </c>
      <c r="H181" s="1698"/>
      <c r="I181" s="1692">
        <v>350</v>
      </c>
      <c r="J181" s="1698"/>
      <c r="K181" s="1692">
        <v>350</v>
      </c>
      <c r="L181" s="1693"/>
      <c r="M181" s="1692">
        <f t="shared" si="125"/>
        <v>350</v>
      </c>
      <c r="N181" s="1693"/>
      <c r="O181" s="1187" t="s">
        <v>2466</v>
      </c>
      <c r="P181" s="1057"/>
      <c r="Q181" s="721">
        <v>350</v>
      </c>
      <c r="R181" s="188"/>
      <c r="S181" s="721"/>
      <c r="T181" s="721"/>
      <c r="U181" s="1008">
        <f t="shared" si="123"/>
        <v>-1</v>
      </c>
      <c r="V181" s="1005">
        <f t="shared" si="124"/>
        <v>0</v>
      </c>
    </row>
    <row r="182" spans="1:22" ht="47.25">
      <c r="A182" s="992">
        <f t="shared" ref="A182" si="128">A180+1</f>
        <v>150</v>
      </c>
      <c r="B182" s="874" t="s">
        <v>1529</v>
      </c>
      <c r="C182" s="289"/>
      <c r="D182" s="289"/>
      <c r="E182" s="752" t="s">
        <v>2160</v>
      </c>
      <c r="F182" s="752" t="s">
        <v>2160</v>
      </c>
      <c r="G182" s="1692">
        <v>430</v>
      </c>
      <c r="H182" s="1698"/>
      <c r="I182" s="1692">
        <v>430</v>
      </c>
      <c r="J182" s="1698"/>
      <c r="K182" s="1692">
        <v>430</v>
      </c>
      <c r="L182" s="1693"/>
      <c r="M182" s="1692">
        <f t="shared" si="125"/>
        <v>430</v>
      </c>
      <c r="N182" s="1693"/>
      <c r="O182" s="1187" t="s">
        <v>2466</v>
      </c>
      <c r="P182" s="1057"/>
      <c r="Q182" s="721">
        <v>430</v>
      </c>
      <c r="R182" s="188"/>
      <c r="S182" s="721"/>
      <c r="T182" s="721"/>
      <c r="U182" s="1008">
        <f t="shared" si="123"/>
        <v>-1</v>
      </c>
      <c r="V182" s="1005">
        <f t="shared" si="124"/>
        <v>0</v>
      </c>
    </row>
    <row r="183" spans="1:22" ht="47.25">
      <c r="A183" s="992">
        <f t="shared" ref="A183" si="129">A182+1</f>
        <v>151</v>
      </c>
      <c r="B183" s="874" t="s">
        <v>1530</v>
      </c>
      <c r="C183" s="289"/>
      <c r="D183" s="289"/>
      <c r="E183" s="752" t="s">
        <v>2160</v>
      </c>
      <c r="F183" s="752" t="s">
        <v>2160</v>
      </c>
      <c r="G183" s="1692">
        <v>3500</v>
      </c>
      <c r="H183" s="1698"/>
      <c r="I183" s="1692">
        <v>3500</v>
      </c>
      <c r="J183" s="1698"/>
      <c r="K183" s="1692">
        <v>3500</v>
      </c>
      <c r="L183" s="1693"/>
      <c r="M183" s="1692">
        <f t="shared" si="125"/>
        <v>3500</v>
      </c>
      <c r="N183" s="1693"/>
      <c r="O183" s="1187" t="s">
        <v>2466</v>
      </c>
      <c r="P183" s="1057"/>
      <c r="Q183" s="721">
        <v>3500</v>
      </c>
      <c r="R183" s="188"/>
      <c r="S183" s="721"/>
      <c r="T183" s="721"/>
      <c r="U183" s="1008">
        <f t="shared" si="123"/>
        <v>-1</v>
      </c>
      <c r="V183" s="1005">
        <f t="shared" si="124"/>
        <v>0</v>
      </c>
    </row>
    <row r="184" spans="1:22" ht="47.25">
      <c r="A184" s="992">
        <f t="shared" ref="A184" si="130">A182+1</f>
        <v>151</v>
      </c>
      <c r="B184" s="874" t="s">
        <v>1531</v>
      </c>
      <c r="C184" s="289"/>
      <c r="D184" s="289"/>
      <c r="E184" s="752" t="s">
        <v>2160</v>
      </c>
      <c r="F184" s="752" t="s">
        <v>2160</v>
      </c>
      <c r="G184" s="1692">
        <v>425</v>
      </c>
      <c r="H184" s="1698"/>
      <c r="I184" s="1692">
        <v>425</v>
      </c>
      <c r="J184" s="1698"/>
      <c r="K184" s="1692">
        <v>425</v>
      </c>
      <c r="L184" s="1693"/>
      <c r="M184" s="1692">
        <f t="shared" si="125"/>
        <v>425</v>
      </c>
      <c r="N184" s="1693"/>
      <c r="O184" s="1187" t="s">
        <v>2466</v>
      </c>
      <c r="P184" s="1057"/>
      <c r="Q184" s="721"/>
      <c r="R184" s="188"/>
      <c r="S184" s="721"/>
      <c r="T184" s="721"/>
      <c r="U184" s="1008">
        <f t="shared" si="123"/>
        <v>-1</v>
      </c>
      <c r="V184" s="1005">
        <f t="shared" si="124"/>
        <v>0</v>
      </c>
    </row>
    <row r="185" spans="1:22" ht="47.25">
      <c r="A185" s="992">
        <f t="shared" ref="A185" si="131">A184+1</f>
        <v>152</v>
      </c>
      <c r="B185" s="874" t="s">
        <v>1532</v>
      </c>
      <c r="C185" s="289"/>
      <c r="D185" s="289"/>
      <c r="E185" s="752" t="s">
        <v>2160</v>
      </c>
      <c r="F185" s="752" t="s">
        <v>2160</v>
      </c>
      <c r="G185" s="1692">
        <v>400</v>
      </c>
      <c r="H185" s="1698"/>
      <c r="I185" s="1692">
        <v>400</v>
      </c>
      <c r="J185" s="1698"/>
      <c r="K185" s="1692">
        <v>400</v>
      </c>
      <c r="L185" s="1693"/>
      <c r="M185" s="1692">
        <f t="shared" si="125"/>
        <v>400</v>
      </c>
      <c r="N185" s="1693"/>
      <c r="O185" s="1187" t="s">
        <v>2466</v>
      </c>
      <c r="P185" s="1057"/>
      <c r="Q185" s="721">
        <v>400</v>
      </c>
      <c r="R185" s="188"/>
      <c r="S185" s="721"/>
      <c r="T185" s="721"/>
      <c r="U185" s="1008">
        <f t="shared" si="123"/>
        <v>-1</v>
      </c>
      <c r="V185" s="1005">
        <f t="shared" si="124"/>
        <v>0</v>
      </c>
    </row>
    <row r="186" spans="1:22" ht="47.25">
      <c r="A186" s="992">
        <f t="shared" ref="A186" si="132">A184+1</f>
        <v>152</v>
      </c>
      <c r="B186" s="874" t="s">
        <v>1533</v>
      </c>
      <c r="C186" s="289"/>
      <c r="D186" s="289"/>
      <c r="E186" s="752" t="s">
        <v>2160</v>
      </c>
      <c r="F186" s="752" t="s">
        <v>2160</v>
      </c>
      <c r="G186" s="1692">
        <v>500</v>
      </c>
      <c r="H186" s="1698"/>
      <c r="I186" s="1692">
        <v>500</v>
      </c>
      <c r="J186" s="1698"/>
      <c r="K186" s="1692">
        <v>500</v>
      </c>
      <c r="L186" s="1693"/>
      <c r="M186" s="1692">
        <f t="shared" si="125"/>
        <v>500</v>
      </c>
      <c r="N186" s="1693"/>
      <c r="O186" s="1187" t="s">
        <v>2466</v>
      </c>
      <c r="P186" s="1057"/>
      <c r="Q186" s="721">
        <v>500</v>
      </c>
      <c r="R186" s="188"/>
      <c r="S186" s="721"/>
      <c r="T186" s="721"/>
      <c r="U186" s="1008">
        <f t="shared" si="123"/>
        <v>-1</v>
      </c>
      <c r="V186" s="1005">
        <f t="shared" si="124"/>
        <v>0</v>
      </c>
    </row>
    <row r="187" spans="1:22" ht="62.45" customHeight="1">
      <c r="A187" s="992">
        <f t="shared" ref="A187" si="133">A186+1</f>
        <v>153</v>
      </c>
      <c r="B187" s="874" t="s">
        <v>1534</v>
      </c>
      <c r="C187" s="289"/>
      <c r="D187" s="289"/>
      <c r="E187" s="752" t="s">
        <v>2160</v>
      </c>
      <c r="F187" s="752" t="s">
        <v>2160</v>
      </c>
      <c r="G187" s="1692">
        <v>700</v>
      </c>
      <c r="H187" s="1698"/>
      <c r="I187" s="1692">
        <v>700</v>
      </c>
      <c r="J187" s="1698"/>
      <c r="K187" s="1692">
        <v>700</v>
      </c>
      <c r="L187" s="1693"/>
      <c r="M187" s="1692">
        <f t="shared" si="125"/>
        <v>700</v>
      </c>
      <c r="N187" s="1693"/>
      <c r="O187" s="1187" t="s">
        <v>2466</v>
      </c>
      <c r="P187" s="1057"/>
      <c r="Q187" s="721">
        <v>700</v>
      </c>
      <c r="R187" s="188"/>
      <c r="S187" s="721"/>
      <c r="T187" s="721"/>
      <c r="U187" s="1008">
        <f t="shared" si="123"/>
        <v>-1</v>
      </c>
      <c r="V187" s="1005">
        <f t="shared" si="124"/>
        <v>0</v>
      </c>
    </row>
    <row r="188" spans="1:22" ht="63">
      <c r="A188" s="992">
        <f t="shared" ref="A188" si="134">A186+1</f>
        <v>153</v>
      </c>
      <c r="B188" s="874" t="s">
        <v>1536</v>
      </c>
      <c r="C188" s="203"/>
      <c r="D188" s="203"/>
      <c r="E188" s="752" t="s">
        <v>2160</v>
      </c>
      <c r="F188" s="752" t="s">
        <v>2160</v>
      </c>
      <c r="G188" s="1692">
        <v>900</v>
      </c>
      <c r="H188" s="1698"/>
      <c r="I188" s="1692">
        <v>900</v>
      </c>
      <c r="J188" s="1698"/>
      <c r="K188" s="1692">
        <v>900</v>
      </c>
      <c r="L188" s="1693"/>
      <c r="M188" s="1692">
        <f t="shared" si="125"/>
        <v>900</v>
      </c>
      <c r="N188" s="1693"/>
      <c r="O188" s="1187" t="s">
        <v>2466</v>
      </c>
      <c r="P188" s="1057"/>
      <c r="Q188" s="721">
        <v>900</v>
      </c>
      <c r="R188" s="188"/>
      <c r="S188" s="721"/>
      <c r="T188" s="721"/>
      <c r="U188" s="1008">
        <f t="shared" si="123"/>
        <v>-1</v>
      </c>
      <c r="V188" s="1005">
        <f t="shared" si="124"/>
        <v>0</v>
      </c>
    </row>
    <row r="189" spans="1:22" ht="63">
      <c r="A189" s="992">
        <f t="shared" ref="A189:A196" si="135">A188+1</f>
        <v>154</v>
      </c>
      <c r="B189" s="874" t="s">
        <v>1535</v>
      </c>
      <c r="C189" s="289"/>
      <c r="D189" s="289"/>
      <c r="E189" s="752" t="s">
        <v>2160</v>
      </c>
      <c r="F189" s="752" t="s">
        <v>2160</v>
      </c>
      <c r="G189" s="1692">
        <v>1200</v>
      </c>
      <c r="H189" s="1698"/>
      <c r="I189" s="1692">
        <v>1200</v>
      </c>
      <c r="J189" s="1698"/>
      <c r="K189" s="1692">
        <v>1200</v>
      </c>
      <c r="L189" s="1693"/>
      <c r="M189" s="1692">
        <f t="shared" si="125"/>
        <v>1200</v>
      </c>
      <c r="N189" s="1693"/>
      <c r="O189" s="1187" t="s">
        <v>2466</v>
      </c>
      <c r="P189" s="1057"/>
      <c r="Q189" s="721">
        <v>1200</v>
      </c>
      <c r="R189" s="188"/>
      <c r="S189" s="721"/>
      <c r="T189" s="721"/>
      <c r="U189" s="1008">
        <f t="shared" si="123"/>
        <v>-1</v>
      </c>
      <c r="V189" s="1005">
        <f t="shared" si="124"/>
        <v>0</v>
      </c>
    </row>
    <row r="190" spans="1:22" ht="19.5">
      <c r="A190" s="995"/>
      <c r="B190" s="999" t="s">
        <v>2467</v>
      </c>
      <c r="C190" s="755"/>
      <c r="D190" s="755"/>
      <c r="E190" s="764"/>
      <c r="F190" s="764"/>
      <c r="G190" s="1702"/>
      <c r="H190" s="1703"/>
      <c r="I190" s="1702"/>
      <c r="J190" s="1703"/>
      <c r="K190" s="1706"/>
      <c r="L190" s="1707"/>
      <c r="M190" s="1177"/>
      <c r="N190" s="1177"/>
      <c r="O190" s="1188"/>
      <c r="P190" s="1177"/>
      <c r="Q190" s="721"/>
      <c r="R190" s="188"/>
      <c r="S190" s="721"/>
      <c r="T190" s="721"/>
      <c r="U190" s="1008"/>
      <c r="V190" s="1005"/>
    </row>
    <row r="191" spans="1:22" ht="63">
      <c r="A191" s="992">
        <f>A189+1</f>
        <v>155</v>
      </c>
      <c r="B191" s="874" t="s">
        <v>1759</v>
      </c>
      <c r="C191" s="289"/>
      <c r="D191" s="289"/>
      <c r="E191" s="720"/>
      <c r="F191" s="720"/>
      <c r="G191" s="1704">
        <v>275</v>
      </c>
      <c r="H191" s="1705"/>
      <c r="I191" s="1704">
        <v>275</v>
      </c>
      <c r="J191" s="1705"/>
      <c r="K191" s="1692">
        <v>275</v>
      </c>
      <c r="L191" s="1693"/>
      <c r="M191" s="1692">
        <f t="shared" ref="M191:M195" si="136">K191</f>
        <v>275</v>
      </c>
      <c r="N191" s="1693"/>
      <c r="O191" s="1187" t="s">
        <v>2194</v>
      </c>
      <c r="P191" s="1057"/>
      <c r="Q191" s="721"/>
      <c r="R191" s="721">
        <v>280</v>
      </c>
      <c r="S191" s="721"/>
      <c r="T191" s="721"/>
      <c r="U191" s="1008">
        <f>(T191-I191)/I191</f>
        <v>-1</v>
      </c>
      <c r="V191" s="1005">
        <f>J191/I191</f>
        <v>0</v>
      </c>
    </row>
    <row r="192" spans="1:22" ht="27" customHeight="1">
      <c r="A192" s="992">
        <f t="shared" si="135"/>
        <v>156</v>
      </c>
      <c r="B192" s="874" t="s">
        <v>1543</v>
      </c>
      <c r="C192" s="289"/>
      <c r="D192" s="289"/>
      <c r="E192" s="720"/>
      <c r="F192" s="720"/>
      <c r="G192" s="1704">
        <v>45</v>
      </c>
      <c r="H192" s="1705"/>
      <c r="I192" s="1704">
        <v>45</v>
      </c>
      <c r="J192" s="1705"/>
      <c r="K192" s="1692">
        <v>45</v>
      </c>
      <c r="L192" s="1693"/>
      <c r="M192" s="1692">
        <f t="shared" si="136"/>
        <v>45</v>
      </c>
      <c r="N192" s="1693"/>
      <c r="O192" s="1187" t="s">
        <v>1787</v>
      </c>
      <c r="P192" s="1057"/>
      <c r="Q192" s="188"/>
      <c r="R192" s="188"/>
      <c r="S192" s="188"/>
      <c r="T192" s="721"/>
      <c r="U192" s="1008">
        <f>(T192-I192)/I192</f>
        <v>-1</v>
      </c>
      <c r="V192" s="1005">
        <f>J192/I192</f>
        <v>0</v>
      </c>
    </row>
    <row r="193" spans="1:22" ht="27" customHeight="1">
      <c r="A193" s="992">
        <f t="shared" si="135"/>
        <v>157</v>
      </c>
      <c r="B193" s="874" t="s">
        <v>1540</v>
      </c>
      <c r="C193" s="289"/>
      <c r="D193" s="289"/>
      <c r="E193" s="720"/>
      <c r="F193" s="720"/>
      <c r="G193" s="1699">
        <v>18</v>
      </c>
      <c r="H193" s="1699"/>
      <c r="I193" s="1699">
        <v>18</v>
      </c>
      <c r="J193" s="1699"/>
      <c r="K193" s="1700">
        <v>18</v>
      </c>
      <c r="L193" s="1701"/>
      <c r="M193" s="1692">
        <f t="shared" si="136"/>
        <v>18</v>
      </c>
      <c r="N193" s="1693"/>
      <c r="O193" s="1187" t="s">
        <v>1787</v>
      </c>
      <c r="P193" s="1057"/>
      <c r="Q193" s="188"/>
      <c r="R193" s="188"/>
      <c r="S193" s="188"/>
      <c r="T193" s="721"/>
      <c r="U193" s="1008">
        <f>(T193-I193)/I193</f>
        <v>-1</v>
      </c>
      <c r="V193" s="1005">
        <f>J193/I193</f>
        <v>0</v>
      </c>
    </row>
    <row r="194" spans="1:22" ht="31.5">
      <c r="A194" s="992">
        <f t="shared" si="135"/>
        <v>158</v>
      </c>
      <c r="B194" s="874" t="s">
        <v>1541</v>
      </c>
      <c r="C194" s="289"/>
      <c r="D194" s="289"/>
      <c r="E194" s="720"/>
      <c r="F194" s="720"/>
      <c r="G194" s="1699">
        <v>30</v>
      </c>
      <c r="H194" s="1699"/>
      <c r="I194" s="1699">
        <v>30</v>
      </c>
      <c r="J194" s="1699"/>
      <c r="K194" s="1700">
        <v>30</v>
      </c>
      <c r="L194" s="1701"/>
      <c r="M194" s="1692">
        <f t="shared" si="136"/>
        <v>30</v>
      </c>
      <c r="N194" s="1693"/>
      <c r="O194" s="1187" t="s">
        <v>1787</v>
      </c>
      <c r="P194" s="1057"/>
      <c r="Q194" s="188"/>
      <c r="R194" s="188"/>
      <c r="S194" s="188"/>
      <c r="T194" s="721"/>
      <c r="U194" s="1008">
        <f>(T194-I194)/I194</f>
        <v>-1</v>
      </c>
      <c r="V194" s="1005">
        <f>J194/I194</f>
        <v>0</v>
      </c>
    </row>
    <row r="195" spans="1:22" ht="31.15" customHeight="1">
      <c r="A195" s="992">
        <f t="shared" si="135"/>
        <v>159</v>
      </c>
      <c r="B195" s="874" t="s">
        <v>1542</v>
      </c>
      <c r="C195" s="289"/>
      <c r="D195" s="289"/>
      <c r="E195" s="720"/>
      <c r="F195" s="720"/>
      <c r="G195" s="1699">
        <v>40</v>
      </c>
      <c r="H195" s="1699"/>
      <c r="I195" s="1699">
        <v>40</v>
      </c>
      <c r="J195" s="1699"/>
      <c r="K195" s="1700">
        <v>40</v>
      </c>
      <c r="L195" s="1701"/>
      <c r="M195" s="1692">
        <f t="shared" si="136"/>
        <v>40</v>
      </c>
      <c r="N195" s="1693"/>
      <c r="O195" s="1276" t="s">
        <v>1787</v>
      </c>
      <c r="P195" s="720" t="s">
        <v>2625</v>
      </c>
      <c r="Q195" s="720" t="s">
        <v>2626</v>
      </c>
      <c r="R195" s="1278"/>
      <c r="S195" s="188"/>
      <c r="T195" s="188"/>
      <c r="U195" s="1008">
        <f>(T195-I195)/I195</f>
        <v>-1</v>
      </c>
      <c r="V195" s="1005">
        <f>J195/I195</f>
        <v>0</v>
      </c>
    </row>
    <row r="196" spans="1:22" ht="20.25" thickBot="1">
      <c r="A196" s="1189">
        <f t="shared" si="135"/>
        <v>160</v>
      </c>
      <c r="B196" s="1190" t="s">
        <v>2829</v>
      </c>
      <c r="C196" s="1191"/>
      <c r="D196" s="1191"/>
      <c r="E196" s="1191"/>
      <c r="F196" s="1191"/>
      <c r="G196" s="1694" t="s">
        <v>2160</v>
      </c>
      <c r="H196" s="1695"/>
      <c r="I196" s="1694" t="s">
        <v>2160</v>
      </c>
      <c r="J196" s="1695"/>
      <c r="K196" s="1696">
        <v>4500</v>
      </c>
      <c r="L196" s="1697"/>
      <c r="M196" s="1710">
        <v>5500</v>
      </c>
      <c r="N196" s="1711"/>
      <c r="O196" s="1277" t="s">
        <v>2136</v>
      </c>
      <c r="P196" s="188">
        <v>14000</v>
      </c>
      <c r="Q196" s="188">
        <v>14000</v>
      </c>
    </row>
  </sheetData>
  <mergeCells count="84">
    <mergeCell ref="M195:N195"/>
    <mergeCell ref="M196:N196"/>
    <mergeCell ref="M2:N2"/>
    <mergeCell ref="M191:N191"/>
    <mergeCell ref="M192:N192"/>
    <mergeCell ref="M193:N193"/>
    <mergeCell ref="M194:N194"/>
    <mergeCell ref="M178:N178"/>
    <mergeCell ref="M179:N179"/>
    <mergeCell ref="M180:N180"/>
    <mergeCell ref="M181:N181"/>
    <mergeCell ref="M182:N182"/>
    <mergeCell ref="M183:N183"/>
    <mergeCell ref="M184:N184"/>
    <mergeCell ref="M185:N185"/>
    <mergeCell ref="M186:N186"/>
    <mergeCell ref="G178:H178"/>
    <mergeCell ref="I178:J178"/>
    <mergeCell ref="K178:L178"/>
    <mergeCell ref="G179:H179"/>
    <mergeCell ref="I179:J179"/>
    <mergeCell ref="K2:L2"/>
    <mergeCell ref="A1:L1"/>
    <mergeCell ref="I2:J2"/>
    <mergeCell ref="G2:H2"/>
    <mergeCell ref="E2:F2"/>
    <mergeCell ref="K195:L195"/>
    <mergeCell ref="I191:J191"/>
    <mergeCell ref="K191:L191"/>
    <mergeCell ref="G190:H190"/>
    <mergeCell ref="I190:J190"/>
    <mergeCell ref="K190:L190"/>
    <mergeCell ref="G195:H195"/>
    <mergeCell ref="I192:J192"/>
    <mergeCell ref="I193:J193"/>
    <mergeCell ref="I194:J194"/>
    <mergeCell ref="I195:J195"/>
    <mergeCell ref="G191:H191"/>
    <mergeCell ref="G192:H192"/>
    <mergeCell ref="K180:L180"/>
    <mergeCell ref="G187:H187"/>
    <mergeCell ref="I187:J187"/>
    <mergeCell ref="K187:L187"/>
    <mergeCell ref="G184:H184"/>
    <mergeCell ref="I184:J184"/>
    <mergeCell ref="K184:L184"/>
    <mergeCell ref="G185:H185"/>
    <mergeCell ref="I185:J185"/>
    <mergeCell ref="K185:L185"/>
    <mergeCell ref="G181:H181"/>
    <mergeCell ref="I181:J181"/>
    <mergeCell ref="K181:L181"/>
    <mergeCell ref="K189:L189"/>
    <mergeCell ref="G177:H177"/>
    <mergeCell ref="I177:J177"/>
    <mergeCell ref="K177:L177"/>
    <mergeCell ref="G186:H186"/>
    <mergeCell ref="I186:J186"/>
    <mergeCell ref="K186:L186"/>
    <mergeCell ref="G182:H182"/>
    <mergeCell ref="I182:J182"/>
    <mergeCell ref="K182:L182"/>
    <mergeCell ref="G183:H183"/>
    <mergeCell ref="I183:J183"/>
    <mergeCell ref="K183:L183"/>
    <mergeCell ref="K179:L179"/>
    <mergeCell ref="G180:H180"/>
    <mergeCell ref="I180:J180"/>
    <mergeCell ref="M187:N187"/>
    <mergeCell ref="M188:N188"/>
    <mergeCell ref="M189:N189"/>
    <mergeCell ref="G196:H196"/>
    <mergeCell ref="I196:J196"/>
    <mergeCell ref="K196:L196"/>
    <mergeCell ref="G188:H188"/>
    <mergeCell ref="I188:J188"/>
    <mergeCell ref="K188:L188"/>
    <mergeCell ref="G193:H193"/>
    <mergeCell ref="G194:H194"/>
    <mergeCell ref="K192:L192"/>
    <mergeCell ref="K193:L193"/>
    <mergeCell ref="K194:L194"/>
    <mergeCell ref="G189:H189"/>
    <mergeCell ref="I189:J189"/>
  </mergeCells>
  <phoneticPr fontId="105" type="noConversion"/>
  <printOptions horizontalCentered="1"/>
  <pageMargins left="1.24" right="0.19" top="1.03" bottom="0.73" header="0.5" footer="0.56999999999999995"/>
  <pageSetup paperSize="9" scale="62"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pageSetUpPr fitToPage="1"/>
  </sheetPr>
  <dimension ref="A1:J46"/>
  <sheetViews>
    <sheetView tabSelected="1" view="pageBreakPreview" zoomScaleNormal="100" zoomScaleSheetLayoutView="100" workbookViewId="0">
      <selection activeCell="D24" sqref="D24"/>
    </sheetView>
  </sheetViews>
  <sheetFormatPr defaultRowHeight="15"/>
  <cols>
    <col min="1" max="1" width="7.42578125" bestFit="1" customWidth="1"/>
    <col min="2" max="2" width="42.5703125" bestFit="1" customWidth="1"/>
    <col min="3" max="3" width="10" bestFit="1" customWidth="1"/>
    <col min="4" max="4" width="16.85546875" hidden="1" customWidth="1"/>
    <col min="5" max="5" width="16" customWidth="1"/>
    <col min="6" max="7" width="17.42578125" customWidth="1"/>
    <col min="9" max="9" width="9.140625" customWidth="1"/>
  </cols>
  <sheetData>
    <row r="1" spans="1:10" ht="29.25" thickBot="1">
      <c r="A1" s="1712" t="s">
        <v>2253</v>
      </c>
      <c r="B1" s="1712"/>
      <c r="C1" s="1712"/>
      <c r="D1" s="1712"/>
      <c r="E1" s="1712"/>
      <c r="F1" s="1712"/>
      <c r="G1" s="1192"/>
    </row>
    <row r="2" spans="1:10" ht="59.45" customHeight="1">
      <c r="A2" s="964" t="s">
        <v>1468</v>
      </c>
      <c r="B2" s="965" t="s">
        <v>1524</v>
      </c>
      <c r="C2" s="965" t="s">
        <v>1469</v>
      </c>
      <c r="D2" s="966" t="s">
        <v>2190</v>
      </c>
      <c r="E2" s="966" t="s">
        <v>2214</v>
      </c>
      <c r="F2" s="966" t="s">
        <v>2192</v>
      </c>
      <c r="G2" s="966" t="s">
        <v>2543</v>
      </c>
    </row>
    <row r="3" spans="1:10" ht="17.45" customHeight="1">
      <c r="A3" s="967">
        <v>1</v>
      </c>
      <c r="B3" s="640" t="s">
        <v>1470</v>
      </c>
      <c r="C3" s="639"/>
      <c r="D3" s="641"/>
      <c r="E3" s="641"/>
      <c r="F3" s="641"/>
      <c r="G3" s="968"/>
      <c r="H3" t="s">
        <v>1755</v>
      </c>
      <c r="I3" t="s">
        <v>2613</v>
      </c>
    </row>
    <row r="4" spans="1:10" ht="23.25">
      <c r="A4" s="969">
        <v>1.1000000000000001</v>
      </c>
      <c r="B4" s="745" t="s">
        <v>1472</v>
      </c>
      <c r="C4" s="736" t="s">
        <v>1471</v>
      </c>
      <c r="D4" s="737">
        <v>275</v>
      </c>
      <c r="E4" s="737">
        <v>275</v>
      </c>
      <c r="F4" s="737">
        <f>E4</f>
        <v>275</v>
      </c>
      <c r="G4" s="1474">
        <v>300</v>
      </c>
      <c r="H4" s="1266">
        <v>300</v>
      </c>
      <c r="J4" s="1546">
        <f>(G4-F4)/F4</f>
        <v>9.0909090909090912E-2</v>
      </c>
    </row>
    <row r="5" spans="1:10" ht="23.25">
      <c r="A5" s="969">
        <v>1.2</v>
      </c>
      <c r="B5" s="745" t="s">
        <v>1473</v>
      </c>
      <c r="C5" s="736" t="s">
        <v>1471</v>
      </c>
      <c r="D5" s="737">
        <v>275</v>
      </c>
      <c r="E5" s="737">
        <v>275</v>
      </c>
      <c r="F5" s="737">
        <f t="shared" ref="F5:F23" si="0">E5</f>
        <v>275</v>
      </c>
      <c r="G5" s="1474">
        <v>300</v>
      </c>
      <c r="H5" s="1266">
        <v>300</v>
      </c>
      <c r="J5" s="1546">
        <f t="shared" ref="J5:J8" si="1">(G5-F5)/F5</f>
        <v>9.0909090909090912E-2</v>
      </c>
    </row>
    <row r="6" spans="1:10" ht="23.25">
      <c r="A6" s="969">
        <v>1.3</v>
      </c>
      <c r="B6" s="745" t="s">
        <v>1474</v>
      </c>
      <c r="C6" s="736" t="s">
        <v>1471</v>
      </c>
      <c r="D6" s="737">
        <v>275</v>
      </c>
      <c r="E6" s="737">
        <v>275</v>
      </c>
      <c r="F6" s="737">
        <f t="shared" si="0"/>
        <v>275</v>
      </c>
      <c r="G6" s="1474">
        <v>300</v>
      </c>
      <c r="H6" s="1266">
        <v>300</v>
      </c>
      <c r="J6" s="1546">
        <f t="shared" si="1"/>
        <v>9.0909090909090912E-2</v>
      </c>
    </row>
    <row r="7" spans="1:10" ht="23.25">
      <c r="A7" s="969">
        <v>1.4</v>
      </c>
      <c r="B7" s="745" t="s">
        <v>1475</v>
      </c>
      <c r="C7" s="736" t="s">
        <v>1471</v>
      </c>
      <c r="D7" s="737">
        <v>275</v>
      </c>
      <c r="E7" s="737">
        <v>275</v>
      </c>
      <c r="F7" s="737">
        <f t="shared" si="0"/>
        <v>275</v>
      </c>
      <c r="G7" s="1474">
        <v>300</v>
      </c>
      <c r="H7" s="1266">
        <v>300</v>
      </c>
      <c r="J7" s="1546">
        <f t="shared" si="1"/>
        <v>9.0909090909090912E-2</v>
      </c>
    </row>
    <row r="8" spans="1:10" ht="23.25">
      <c r="A8" s="969">
        <v>1.5</v>
      </c>
      <c r="B8" s="745" t="s">
        <v>1476</v>
      </c>
      <c r="C8" s="736" t="s">
        <v>1471</v>
      </c>
      <c r="D8" s="737">
        <v>275</v>
      </c>
      <c r="E8" s="737">
        <v>275</v>
      </c>
      <c r="F8" s="737">
        <f t="shared" si="0"/>
        <v>275</v>
      </c>
      <c r="G8" s="1474">
        <v>300</v>
      </c>
      <c r="H8" s="1266">
        <v>300</v>
      </c>
      <c r="J8" s="1546">
        <f t="shared" si="1"/>
        <v>9.0909090909090912E-2</v>
      </c>
    </row>
    <row r="9" spans="1:10" s="642" customFormat="1" ht="23.25">
      <c r="A9" s="967">
        <v>2</v>
      </c>
      <c r="B9" s="746" t="s">
        <v>1477</v>
      </c>
      <c r="C9" s="639"/>
      <c r="D9" s="738"/>
      <c r="E9" s="738"/>
      <c r="F9" s="738"/>
      <c r="G9" s="971"/>
    </row>
    <row r="10" spans="1:10" ht="30">
      <c r="A10" s="972">
        <v>2.1</v>
      </c>
      <c r="B10" s="210" t="s">
        <v>1478</v>
      </c>
      <c r="C10" s="720" t="s">
        <v>1479</v>
      </c>
      <c r="D10" s="737">
        <v>5500</v>
      </c>
      <c r="E10" s="737">
        <v>5500</v>
      </c>
      <c r="F10" s="737">
        <f t="shared" si="0"/>
        <v>5500</v>
      </c>
      <c r="G10" s="970">
        <f t="shared" ref="G10:G23" si="2">F10</f>
        <v>5500</v>
      </c>
    </row>
    <row r="11" spans="1:10" ht="30">
      <c r="A11" s="972">
        <v>2.2000000000000002</v>
      </c>
      <c r="B11" s="210" t="s">
        <v>1539</v>
      </c>
      <c r="C11" s="720" t="s">
        <v>1471</v>
      </c>
      <c r="D11" s="737">
        <v>315</v>
      </c>
      <c r="E11" s="737">
        <v>315</v>
      </c>
      <c r="F11" s="737">
        <f t="shared" si="0"/>
        <v>315</v>
      </c>
      <c r="G11" s="970">
        <f t="shared" si="2"/>
        <v>315</v>
      </c>
    </row>
    <row r="12" spans="1:10" ht="31.15" customHeight="1">
      <c r="A12" s="973">
        <v>3</v>
      </c>
      <c r="B12" s="744" t="s">
        <v>1480</v>
      </c>
      <c r="C12" s="639"/>
      <c r="D12" s="739"/>
      <c r="E12" s="739"/>
      <c r="F12" s="739"/>
      <c r="G12" s="974"/>
      <c r="H12" t="s">
        <v>1755</v>
      </c>
      <c r="I12" t="s">
        <v>2614</v>
      </c>
    </row>
    <row r="13" spans="1:10" ht="21" customHeight="1">
      <c r="A13" s="975">
        <v>3.1</v>
      </c>
      <c r="B13" s="714" t="s">
        <v>1481</v>
      </c>
      <c r="C13" s="736" t="s">
        <v>1482</v>
      </c>
      <c r="D13" s="737">
        <v>11000</v>
      </c>
      <c r="E13" s="737">
        <v>11000</v>
      </c>
      <c r="F13" s="737">
        <f t="shared" si="0"/>
        <v>11000</v>
      </c>
      <c r="G13" s="970">
        <f t="shared" si="2"/>
        <v>11000</v>
      </c>
      <c r="H13">
        <v>11972</v>
      </c>
      <c r="I13" s="1005">
        <f>H13-G13</f>
        <v>972</v>
      </c>
    </row>
    <row r="14" spans="1:10" ht="21" customHeight="1">
      <c r="A14" s="975">
        <v>3.2</v>
      </c>
      <c r="B14" s="714" t="s">
        <v>1483</v>
      </c>
      <c r="C14" s="736" t="s">
        <v>1482</v>
      </c>
      <c r="D14" s="737">
        <v>27400</v>
      </c>
      <c r="E14" s="737">
        <v>27400</v>
      </c>
      <c r="F14" s="737">
        <f t="shared" si="0"/>
        <v>27400</v>
      </c>
      <c r="G14" s="970">
        <f t="shared" si="2"/>
        <v>27400</v>
      </c>
      <c r="H14">
        <v>23938</v>
      </c>
      <c r="I14" s="1005">
        <f t="shared" ref="I14:I16" si="3">H14-G14</f>
        <v>-3462</v>
      </c>
    </row>
    <row r="15" spans="1:10" ht="21" customHeight="1">
      <c r="A15" s="975">
        <v>3.3</v>
      </c>
      <c r="B15" s="714" t="s">
        <v>1484</v>
      </c>
      <c r="C15" s="736" t="s">
        <v>1482</v>
      </c>
      <c r="D15" s="737">
        <v>41000</v>
      </c>
      <c r="E15" s="737">
        <v>41000</v>
      </c>
      <c r="F15" s="737">
        <f t="shared" si="0"/>
        <v>41000</v>
      </c>
      <c r="G15" s="970">
        <f t="shared" si="2"/>
        <v>41000</v>
      </c>
      <c r="H15">
        <v>36537</v>
      </c>
      <c r="I15" s="1005">
        <f t="shared" si="3"/>
        <v>-4463</v>
      </c>
    </row>
    <row r="16" spans="1:10" ht="21" customHeight="1">
      <c r="A16" s="975">
        <v>3.4</v>
      </c>
      <c r="B16" s="714" t="s">
        <v>1485</v>
      </c>
      <c r="C16" s="736" t="s">
        <v>1482</v>
      </c>
      <c r="D16" s="737">
        <v>54500</v>
      </c>
      <c r="E16" s="737">
        <v>54500</v>
      </c>
      <c r="F16" s="737">
        <f t="shared" si="0"/>
        <v>54500</v>
      </c>
      <c r="G16" s="970">
        <f t="shared" si="2"/>
        <v>54500</v>
      </c>
      <c r="H16">
        <v>47875</v>
      </c>
      <c r="I16" s="1005">
        <f t="shared" si="3"/>
        <v>-6625</v>
      </c>
    </row>
    <row r="17" spans="1:7" ht="23.25">
      <c r="A17" s="976">
        <v>4</v>
      </c>
      <c r="B17" s="747" t="s">
        <v>1486</v>
      </c>
      <c r="C17" s="736" t="s">
        <v>1482</v>
      </c>
      <c r="D17" s="737">
        <v>1200</v>
      </c>
      <c r="E17" s="737">
        <v>1200</v>
      </c>
      <c r="F17" s="737">
        <f t="shared" si="0"/>
        <v>1200</v>
      </c>
      <c r="G17" s="970">
        <f t="shared" si="2"/>
        <v>1200</v>
      </c>
    </row>
    <row r="18" spans="1:7" ht="23.25">
      <c r="A18" s="977">
        <v>5</v>
      </c>
      <c r="B18" s="747" t="s">
        <v>1487</v>
      </c>
      <c r="C18" s="736" t="s">
        <v>1488</v>
      </c>
      <c r="D18" s="737">
        <v>11600</v>
      </c>
      <c r="E18" s="737">
        <v>11600</v>
      </c>
      <c r="F18" s="737">
        <f t="shared" si="0"/>
        <v>11600</v>
      </c>
      <c r="G18" s="970">
        <f t="shared" si="2"/>
        <v>11600</v>
      </c>
    </row>
    <row r="19" spans="1:7" ht="23.25">
      <c r="A19" s="977">
        <v>6</v>
      </c>
      <c r="B19" s="747" t="s">
        <v>1489</v>
      </c>
      <c r="C19" s="736" t="s">
        <v>1488</v>
      </c>
      <c r="D19" s="737">
        <v>5100</v>
      </c>
      <c r="E19" s="737">
        <v>5100</v>
      </c>
      <c r="F19" s="737">
        <f t="shared" si="0"/>
        <v>5100</v>
      </c>
      <c r="G19" s="970">
        <f t="shared" si="2"/>
        <v>5100</v>
      </c>
    </row>
    <row r="20" spans="1:7" ht="23.25">
      <c r="A20" s="977">
        <v>7</v>
      </c>
      <c r="B20" s="747" t="s">
        <v>1490</v>
      </c>
      <c r="C20" s="736" t="s">
        <v>1488</v>
      </c>
      <c r="D20" s="737">
        <v>11200</v>
      </c>
      <c r="E20" s="737">
        <v>11200</v>
      </c>
      <c r="F20" s="737">
        <f t="shared" si="0"/>
        <v>11200</v>
      </c>
      <c r="G20" s="970">
        <f t="shared" si="2"/>
        <v>11200</v>
      </c>
    </row>
    <row r="21" spans="1:7" ht="23.25">
      <c r="A21" s="978">
        <v>8</v>
      </c>
      <c r="B21" s="748" t="s">
        <v>1491</v>
      </c>
      <c r="C21" s="638"/>
      <c r="D21" s="740"/>
      <c r="E21" s="740"/>
      <c r="F21" s="740"/>
      <c r="G21" s="979"/>
    </row>
    <row r="22" spans="1:7" ht="23.25">
      <c r="A22" s="975">
        <v>8.1</v>
      </c>
      <c r="B22" s="747" t="s">
        <v>1492</v>
      </c>
      <c r="C22" s="736" t="s">
        <v>1493</v>
      </c>
      <c r="D22" s="737">
        <v>1100</v>
      </c>
      <c r="E22" s="737">
        <v>1100</v>
      </c>
      <c r="F22" s="737">
        <f t="shared" si="0"/>
        <v>1100</v>
      </c>
      <c r="G22" s="970">
        <f t="shared" si="2"/>
        <v>1100</v>
      </c>
    </row>
    <row r="23" spans="1:7" ht="23.25">
      <c r="A23" s="975">
        <v>8.1999999999999993</v>
      </c>
      <c r="B23" s="747" t="s">
        <v>1494</v>
      </c>
      <c r="C23" s="736" t="s">
        <v>1493</v>
      </c>
      <c r="D23" s="737">
        <v>750</v>
      </c>
      <c r="E23" s="737">
        <v>750</v>
      </c>
      <c r="F23" s="737">
        <f t="shared" si="0"/>
        <v>750</v>
      </c>
      <c r="G23" s="970">
        <f t="shared" si="2"/>
        <v>750</v>
      </c>
    </row>
    <row r="24" spans="1:7" ht="23.25">
      <c r="A24" s="978">
        <v>9</v>
      </c>
      <c r="B24" s="746" t="s">
        <v>692</v>
      </c>
      <c r="C24" s="639"/>
      <c r="D24" s="738"/>
      <c r="E24" s="738"/>
      <c r="F24" s="738"/>
      <c r="G24" s="971"/>
    </row>
    <row r="25" spans="1:7" ht="23.25">
      <c r="A25" s="980">
        <v>9.1</v>
      </c>
      <c r="B25" s="749" t="s">
        <v>1495</v>
      </c>
      <c r="C25" s="638"/>
      <c r="D25" s="740"/>
      <c r="E25" s="740"/>
      <c r="F25" s="740"/>
      <c r="G25" s="979"/>
    </row>
    <row r="26" spans="1:7" ht="23.25">
      <c r="A26" s="981" t="s">
        <v>1496</v>
      </c>
      <c r="B26" s="750" t="s">
        <v>1754</v>
      </c>
      <c r="C26" s="736" t="s">
        <v>1493</v>
      </c>
      <c r="D26" s="741" t="s">
        <v>2160</v>
      </c>
      <c r="E26" s="742">
        <v>550</v>
      </c>
      <c r="F26" s="737">
        <f t="shared" ref="F26:G28" si="4">E26</f>
        <v>550</v>
      </c>
      <c r="G26" s="970">
        <f t="shared" si="4"/>
        <v>550</v>
      </c>
    </row>
    <row r="27" spans="1:7" ht="23.25">
      <c r="A27" s="981" t="s">
        <v>1498</v>
      </c>
      <c r="B27" s="750" t="s">
        <v>1497</v>
      </c>
      <c r="C27" s="736" t="s">
        <v>1493</v>
      </c>
      <c r="D27" s="737">
        <v>755</v>
      </c>
      <c r="E27" s="737">
        <f>E23</f>
        <v>750</v>
      </c>
      <c r="F27" s="737">
        <f t="shared" si="4"/>
        <v>750</v>
      </c>
      <c r="G27" s="970">
        <f t="shared" si="4"/>
        <v>750</v>
      </c>
    </row>
    <row r="28" spans="1:7" ht="23.25">
      <c r="A28" s="981" t="s">
        <v>1753</v>
      </c>
      <c r="B28" s="750" t="s">
        <v>1499</v>
      </c>
      <c r="C28" s="736" t="s">
        <v>1493</v>
      </c>
      <c r="D28" s="737">
        <v>1155</v>
      </c>
      <c r="E28" s="737">
        <v>1155</v>
      </c>
      <c r="F28" s="737">
        <f t="shared" si="4"/>
        <v>1155</v>
      </c>
      <c r="G28" s="970">
        <f t="shared" si="4"/>
        <v>1155</v>
      </c>
    </row>
    <row r="29" spans="1:7" ht="19.899999999999999" customHeight="1">
      <c r="A29" s="978">
        <v>9.1999999999999993</v>
      </c>
      <c r="B29" s="746" t="s">
        <v>1757</v>
      </c>
      <c r="C29" s="638"/>
      <c r="D29" s="740"/>
      <c r="E29" s="740"/>
      <c r="F29" s="740"/>
      <c r="G29" s="979"/>
    </row>
    <row r="30" spans="1:7" ht="23.25">
      <c r="A30" s="981" t="s">
        <v>1500</v>
      </c>
      <c r="B30" s="750" t="s">
        <v>1501</v>
      </c>
      <c r="C30" s="736" t="s">
        <v>1493</v>
      </c>
      <c r="D30" s="737">
        <v>1000</v>
      </c>
      <c r="E30" s="737">
        <v>1000</v>
      </c>
      <c r="F30" s="737">
        <f t="shared" ref="F30:G37" si="5">E30</f>
        <v>1000</v>
      </c>
      <c r="G30" s="970">
        <f t="shared" si="5"/>
        <v>1000</v>
      </c>
    </row>
    <row r="31" spans="1:7" ht="23.25">
      <c r="A31" s="981" t="s">
        <v>1502</v>
      </c>
      <c r="B31" s="750" t="s">
        <v>1503</v>
      </c>
      <c r="C31" s="736" t="s">
        <v>1493</v>
      </c>
      <c r="D31" s="737">
        <v>1500</v>
      </c>
      <c r="E31" s="737">
        <v>1500</v>
      </c>
      <c r="F31" s="737">
        <f t="shared" si="5"/>
        <v>1500</v>
      </c>
      <c r="G31" s="970">
        <f t="shared" si="5"/>
        <v>1500</v>
      </c>
    </row>
    <row r="32" spans="1:7" ht="23.25">
      <c r="A32" s="982" t="s">
        <v>1504</v>
      </c>
      <c r="B32" s="747" t="s">
        <v>1505</v>
      </c>
      <c r="C32" s="736" t="s">
        <v>1493</v>
      </c>
      <c r="D32" s="737">
        <v>1650</v>
      </c>
      <c r="E32" s="737">
        <v>1650</v>
      </c>
      <c r="F32" s="737">
        <f t="shared" si="5"/>
        <v>1650</v>
      </c>
      <c r="G32" s="970">
        <f t="shared" si="5"/>
        <v>1650</v>
      </c>
    </row>
    <row r="33" spans="1:7" ht="23.25">
      <c r="A33" s="981" t="s">
        <v>1506</v>
      </c>
      <c r="B33" s="747" t="s">
        <v>1507</v>
      </c>
      <c r="C33" s="736" t="s">
        <v>1493</v>
      </c>
      <c r="D33" s="737">
        <v>2200</v>
      </c>
      <c r="E33" s="737">
        <v>2200</v>
      </c>
      <c r="F33" s="737">
        <f t="shared" si="5"/>
        <v>2200</v>
      </c>
      <c r="G33" s="970">
        <f t="shared" si="5"/>
        <v>2200</v>
      </c>
    </row>
    <row r="34" spans="1:7" ht="23.25">
      <c r="A34" s="981" t="s">
        <v>1508</v>
      </c>
      <c r="B34" s="747" t="s">
        <v>1509</v>
      </c>
      <c r="C34" s="736" t="s">
        <v>1493</v>
      </c>
      <c r="D34" s="737">
        <v>2200</v>
      </c>
      <c r="E34" s="737">
        <v>2200</v>
      </c>
      <c r="F34" s="737">
        <f t="shared" si="5"/>
        <v>2200</v>
      </c>
      <c r="G34" s="970">
        <f t="shared" si="5"/>
        <v>2200</v>
      </c>
    </row>
    <row r="35" spans="1:7" ht="23.25">
      <c r="A35" s="981" t="s">
        <v>1510</v>
      </c>
      <c r="B35" s="747" t="s">
        <v>1511</v>
      </c>
      <c r="C35" s="736" t="s">
        <v>1493</v>
      </c>
      <c r="D35" s="737">
        <v>2750</v>
      </c>
      <c r="E35" s="737">
        <v>2750</v>
      </c>
      <c r="F35" s="737">
        <f t="shared" si="5"/>
        <v>2750</v>
      </c>
      <c r="G35" s="970">
        <f t="shared" si="5"/>
        <v>2750</v>
      </c>
    </row>
    <row r="36" spans="1:7" ht="23.25">
      <c r="A36" s="981" t="s">
        <v>1512</v>
      </c>
      <c r="B36" s="747" t="s">
        <v>1513</v>
      </c>
      <c r="C36" s="736" t="s">
        <v>1493</v>
      </c>
      <c r="D36" s="737">
        <v>3025</v>
      </c>
      <c r="E36" s="737">
        <v>3025</v>
      </c>
      <c r="F36" s="737">
        <f t="shared" si="5"/>
        <v>3025</v>
      </c>
      <c r="G36" s="970">
        <f t="shared" si="5"/>
        <v>3025</v>
      </c>
    </row>
    <row r="37" spans="1:7" ht="23.25">
      <c r="A37" s="981" t="s">
        <v>1514</v>
      </c>
      <c r="B37" s="747" t="s">
        <v>1515</v>
      </c>
      <c r="C37" s="736" t="s">
        <v>1493</v>
      </c>
      <c r="D37" s="737">
        <v>3025</v>
      </c>
      <c r="E37" s="737">
        <v>3025</v>
      </c>
      <c r="F37" s="737">
        <f t="shared" si="5"/>
        <v>3025</v>
      </c>
      <c r="G37" s="970">
        <f t="shared" si="5"/>
        <v>3025</v>
      </c>
    </row>
    <row r="38" spans="1:7" ht="18.600000000000001" customHeight="1">
      <c r="A38" s="983">
        <v>10</v>
      </c>
      <c r="B38" s="746" t="s">
        <v>1516</v>
      </c>
      <c r="C38" s="639"/>
      <c r="D38" s="738"/>
      <c r="E38" s="738"/>
      <c r="F38" s="738"/>
      <c r="G38" s="971"/>
    </row>
    <row r="39" spans="1:7" ht="19.149999999999999" customHeight="1">
      <c r="A39" s="975">
        <v>10.1</v>
      </c>
      <c r="B39" s="747" t="s">
        <v>1517</v>
      </c>
      <c r="C39" s="736" t="s">
        <v>1482</v>
      </c>
      <c r="D39" s="743">
        <v>10000</v>
      </c>
      <c r="E39" s="743">
        <v>10000</v>
      </c>
      <c r="F39" s="737">
        <f t="shared" ref="F39:G40" si="6">E39</f>
        <v>10000</v>
      </c>
      <c r="G39" s="970">
        <f t="shared" si="6"/>
        <v>10000</v>
      </c>
    </row>
    <row r="40" spans="1:7" ht="23.25">
      <c r="A40" s="975">
        <v>10.199999999999999</v>
      </c>
      <c r="B40" s="747" t="s">
        <v>1518</v>
      </c>
      <c r="C40" s="736" t="s">
        <v>1482</v>
      </c>
      <c r="D40" s="737">
        <v>7000</v>
      </c>
      <c r="E40" s="737">
        <v>7000</v>
      </c>
      <c r="F40" s="737">
        <f t="shared" si="6"/>
        <v>7000</v>
      </c>
      <c r="G40" s="970">
        <f t="shared" si="6"/>
        <v>7000</v>
      </c>
    </row>
    <row r="41" spans="1:7" ht="23.25">
      <c r="A41" s="984">
        <v>11</v>
      </c>
      <c r="B41" s="746" t="s">
        <v>1519</v>
      </c>
      <c r="C41" s="639"/>
      <c r="D41" s="738"/>
      <c r="E41" s="738"/>
      <c r="F41" s="738"/>
      <c r="G41" s="971"/>
    </row>
    <row r="42" spans="1:7" ht="23.25">
      <c r="A42" s="975">
        <v>11.1</v>
      </c>
      <c r="B42" s="747" t="s">
        <v>1520</v>
      </c>
      <c r="C42" s="736" t="s">
        <v>1482</v>
      </c>
      <c r="D42" s="737">
        <v>2000</v>
      </c>
      <c r="E42" s="737">
        <v>2000</v>
      </c>
      <c r="F42" s="737">
        <f t="shared" ref="F42:G46" si="7">E42</f>
        <v>2000</v>
      </c>
      <c r="G42" s="970">
        <f t="shared" si="7"/>
        <v>2000</v>
      </c>
    </row>
    <row r="43" spans="1:7" ht="23.25">
      <c r="A43" s="975">
        <v>11.2</v>
      </c>
      <c r="B43" s="747" t="s">
        <v>1521</v>
      </c>
      <c r="C43" s="736" t="s">
        <v>1482</v>
      </c>
      <c r="D43" s="737">
        <v>3500</v>
      </c>
      <c r="E43" s="737">
        <v>3500</v>
      </c>
      <c r="F43" s="737">
        <f t="shared" si="7"/>
        <v>3500</v>
      </c>
      <c r="G43" s="970">
        <f t="shared" si="7"/>
        <v>3500</v>
      </c>
    </row>
    <row r="44" spans="1:7" ht="23.25">
      <c r="A44" s="985">
        <v>12</v>
      </c>
      <c r="B44" s="747" t="s">
        <v>1522</v>
      </c>
      <c r="C44" s="736" t="s">
        <v>1471</v>
      </c>
      <c r="D44" s="737">
        <v>300</v>
      </c>
      <c r="E44" s="737">
        <v>300</v>
      </c>
      <c r="F44" s="737">
        <f t="shared" si="7"/>
        <v>300</v>
      </c>
      <c r="G44" s="970">
        <f t="shared" si="7"/>
        <v>300</v>
      </c>
    </row>
    <row r="45" spans="1:7" ht="18.600000000000001" customHeight="1">
      <c r="A45" s="985">
        <v>13</v>
      </c>
      <c r="B45" s="747" t="s">
        <v>1523</v>
      </c>
      <c r="C45" s="736" t="s">
        <v>1493</v>
      </c>
      <c r="D45" s="737">
        <v>2000</v>
      </c>
      <c r="E45" s="737">
        <v>2000</v>
      </c>
      <c r="F45" s="737">
        <f t="shared" si="7"/>
        <v>2000</v>
      </c>
      <c r="G45" s="970">
        <f t="shared" si="7"/>
        <v>2000</v>
      </c>
    </row>
    <row r="46" spans="1:7" ht="17.45" customHeight="1" thickBot="1">
      <c r="A46" s="986">
        <v>14</v>
      </c>
      <c r="B46" s="987" t="s">
        <v>1544</v>
      </c>
      <c r="C46" s="988" t="s">
        <v>1471</v>
      </c>
      <c r="D46" s="989">
        <v>189</v>
      </c>
      <c r="E46" s="989">
        <v>189</v>
      </c>
      <c r="F46" s="989">
        <f t="shared" si="7"/>
        <v>189</v>
      </c>
      <c r="G46" s="970">
        <f t="shared" si="7"/>
        <v>189</v>
      </c>
    </row>
  </sheetData>
  <mergeCells count="1">
    <mergeCell ref="A1:F1"/>
  </mergeCells>
  <phoneticPr fontId="105" type="noConversion"/>
  <printOptions horizontalCentered="1"/>
  <pageMargins left="1.24" right="0.19" top="1.03" bottom="0.73" header="0.5" footer="0.56999999999999995"/>
  <pageSetup paperSize="9" scale="78" fitToHeight="0" orientation="portrait" horizontalDpi="300" verticalDpi="300" r:id="rId1"/>
  <headerFooter alignWithMargins="0">
    <oddHeader>&amp;Lजिल्ला : नवलपरासी (ब.सु.प.)&amp;Rजिल्ला दररेट आ.व.२०८३/०८४</oddHeader>
    <oddFooter xml:space="preserve">&amp;C&amp;"Nepali, Plain"&amp;16&amp;P&amp;"-,Regular"&amp;11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D4:L11"/>
  <sheetViews>
    <sheetView workbookViewId="0">
      <selection activeCell="D19" sqref="D19"/>
    </sheetView>
  </sheetViews>
  <sheetFormatPr defaultRowHeight="15"/>
  <cols>
    <col min="4" max="4" width="29.28515625" customWidth="1"/>
    <col min="5" max="5" width="9.5703125" bestFit="1" customWidth="1"/>
  </cols>
  <sheetData>
    <row r="4" spans="4:12">
      <c r="D4" s="1361" t="s">
        <v>2685</v>
      </c>
      <c r="E4" s="1361"/>
      <c r="F4" s="1361"/>
      <c r="G4" s="1361"/>
      <c r="H4" s="1361"/>
      <c r="I4" s="1361"/>
      <c r="J4" s="1361"/>
      <c r="K4" s="1361"/>
      <c r="L4" s="1361"/>
    </row>
    <row r="5" spans="4:12">
      <c r="D5" s="745" t="s">
        <v>2677</v>
      </c>
      <c r="E5" s="745" t="s">
        <v>1358</v>
      </c>
      <c r="F5" s="745" t="s">
        <v>1328</v>
      </c>
      <c r="G5" s="745" t="s">
        <v>1331</v>
      </c>
      <c r="H5" s="745" t="s">
        <v>2673</v>
      </c>
      <c r="I5" s="745" t="s">
        <v>2674</v>
      </c>
      <c r="J5" s="745" t="s">
        <v>2675</v>
      </c>
      <c r="K5" s="745" t="s">
        <v>2676</v>
      </c>
      <c r="L5" s="745" t="s">
        <v>2683</v>
      </c>
    </row>
    <row r="6" spans="4:12">
      <c r="D6" s="745" t="s">
        <v>2680</v>
      </c>
      <c r="E6" s="745">
        <v>78</v>
      </c>
      <c r="F6" s="745">
        <v>85</v>
      </c>
      <c r="G6" s="745">
        <v>96</v>
      </c>
      <c r="H6" s="745">
        <v>102</v>
      </c>
      <c r="I6" s="745">
        <v>105</v>
      </c>
      <c r="J6" s="745">
        <v>108</v>
      </c>
      <c r="K6" s="745">
        <v>125</v>
      </c>
      <c r="L6" s="745">
        <f>SUM(E6:K6)</f>
        <v>699</v>
      </c>
    </row>
    <row r="7" spans="4:12">
      <c r="D7" s="745" t="s">
        <v>2679</v>
      </c>
      <c r="E7" s="1358">
        <f>TRUNC(L6/7,2)</f>
        <v>99.85</v>
      </c>
      <c r="F7" s="1358">
        <f>E7</f>
        <v>99.85</v>
      </c>
      <c r="G7" s="1358">
        <f t="shared" ref="G7:K7" si="0">F7</f>
        <v>99.85</v>
      </c>
      <c r="H7" s="1358">
        <f t="shared" si="0"/>
        <v>99.85</v>
      </c>
      <c r="I7" s="1358">
        <f t="shared" si="0"/>
        <v>99.85</v>
      </c>
      <c r="J7" s="1358">
        <f t="shared" si="0"/>
        <v>99.85</v>
      </c>
      <c r="K7" s="1358">
        <f t="shared" si="0"/>
        <v>99.85</v>
      </c>
      <c r="L7" s="745"/>
    </row>
    <row r="8" spans="4:12">
      <c r="D8" s="745" t="s">
        <v>2681</v>
      </c>
      <c r="E8" s="1358">
        <f>E6-E7</f>
        <v>-21.849999999999994</v>
      </c>
      <c r="F8" s="1358">
        <f t="shared" ref="F8:K8" si="1">F6-F7</f>
        <v>-14.849999999999994</v>
      </c>
      <c r="G8" s="1358">
        <f t="shared" si="1"/>
        <v>-3.8499999999999943</v>
      </c>
      <c r="H8" s="1358">
        <f t="shared" si="1"/>
        <v>2.1500000000000057</v>
      </c>
      <c r="I8" s="1358">
        <f t="shared" si="1"/>
        <v>5.1500000000000057</v>
      </c>
      <c r="J8" s="1358">
        <f t="shared" si="1"/>
        <v>8.1500000000000057</v>
      </c>
      <c r="K8" s="1358">
        <f t="shared" si="1"/>
        <v>25.150000000000006</v>
      </c>
      <c r="L8" s="1358">
        <f>SUM(E8:K8)</f>
        <v>5.000000000003979E-2</v>
      </c>
    </row>
    <row r="9" spans="4:12">
      <c r="D9" s="745" t="s">
        <v>2682</v>
      </c>
      <c r="E9" s="1358">
        <f>E8^2</f>
        <v>477.42249999999973</v>
      </c>
      <c r="F9" s="1358">
        <f t="shared" ref="F9:K9" si="2">F8^2</f>
        <v>220.52249999999984</v>
      </c>
      <c r="G9" s="1358">
        <f t="shared" si="2"/>
        <v>14.822499999999955</v>
      </c>
      <c r="H9" s="1358">
        <f t="shared" si="2"/>
        <v>4.6225000000000245</v>
      </c>
      <c r="I9" s="1358">
        <f t="shared" si="2"/>
        <v>26.522500000000058</v>
      </c>
      <c r="J9" s="1358">
        <f t="shared" si="2"/>
        <v>66.422500000000099</v>
      </c>
      <c r="K9" s="1358">
        <f t="shared" si="2"/>
        <v>632.52250000000026</v>
      </c>
      <c r="L9" s="1358">
        <f>SUM(E9:K9)</f>
        <v>1442.8575000000001</v>
      </c>
    </row>
    <row r="10" spans="4:12">
      <c r="D10" s="745" t="s">
        <v>2684</v>
      </c>
      <c r="E10" s="1358">
        <f>TRUNC(SQRT(E9/7),2)</f>
        <v>8.25</v>
      </c>
      <c r="F10" s="1358">
        <f t="shared" ref="F10:K10" si="3">TRUNC(SQRT(F9/7),2)</f>
        <v>5.61</v>
      </c>
      <c r="G10" s="1358">
        <f t="shared" si="3"/>
        <v>1.45</v>
      </c>
      <c r="H10" s="1358">
        <f t="shared" si="3"/>
        <v>0.81</v>
      </c>
      <c r="I10" s="1358">
        <f t="shared" si="3"/>
        <v>1.94</v>
      </c>
      <c r="J10" s="1358">
        <f t="shared" si="3"/>
        <v>3.08</v>
      </c>
      <c r="K10" s="1358">
        <f t="shared" si="3"/>
        <v>9.5</v>
      </c>
      <c r="L10" s="745"/>
    </row>
    <row r="11" spans="4:12">
      <c r="D11" s="745" t="s">
        <v>2678</v>
      </c>
      <c r="E11" s="1359">
        <f>E8/E7</f>
        <v>-0.21882824236354528</v>
      </c>
      <c r="F11" s="1359">
        <f t="shared" ref="F11:K11" si="4">F8/F7</f>
        <v>-0.14872308462694037</v>
      </c>
      <c r="G11" s="1359">
        <f t="shared" si="4"/>
        <v>-3.8557836755132642E-2</v>
      </c>
      <c r="H11" s="1359">
        <f t="shared" si="4"/>
        <v>2.1532298447671565E-2</v>
      </c>
      <c r="I11" s="1359">
        <f t="shared" si="4"/>
        <v>5.1577366049073668E-2</v>
      </c>
      <c r="J11" s="1359">
        <f t="shared" si="4"/>
        <v>8.1622433650475779E-2</v>
      </c>
      <c r="K11" s="1359">
        <f t="shared" si="4"/>
        <v>0.25187781672508769</v>
      </c>
      <c r="L11" s="136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EE0000"/>
    <pageSetUpPr fitToPage="1"/>
  </sheetPr>
  <dimension ref="A1:Q12"/>
  <sheetViews>
    <sheetView showWhiteSpace="0" view="pageBreakPreview" zoomScale="140" zoomScaleSheetLayoutView="140" workbookViewId="0">
      <selection activeCell="O5" sqref="O5"/>
    </sheetView>
  </sheetViews>
  <sheetFormatPr defaultColWidth="9.28515625" defaultRowHeight="15"/>
  <cols>
    <col min="1" max="1" width="6.5703125" style="60" customWidth="1"/>
    <col min="2" max="2" width="42.5703125" style="61" customWidth="1"/>
    <col min="3" max="3" width="8" style="60" customWidth="1"/>
    <col min="4" max="4" width="4.42578125" style="60" hidden="1" customWidth="1"/>
    <col min="5" max="5" width="9.7109375" style="62" hidden="1" customWidth="1"/>
    <col min="6" max="6" width="10.28515625" style="62" hidden="1" customWidth="1"/>
    <col min="7" max="7" width="4.42578125" style="62" hidden="1" customWidth="1"/>
    <col min="8" max="8" width="11.28515625" style="62" hidden="1" customWidth="1"/>
    <col min="9" max="9" width="11.5703125" style="62" hidden="1" customWidth="1"/>
    <col min="10" max="12" width="13.28515625" style="62" hidden="1" customWidth="1"/>
    <col min="13" max="13" width="13.28515625" style="62" customWidth="1"/>
    <col min="14" max="15" width="13.85546875" style="13" customWidth="1"/>
    <col min="16" max="16" width="9.28515625" style="13"/>
    <col min="17" max="17" width="10.7109375" style="13" customWidth="1"/>
    <col min="18" max="18" width="9.7109375" style="13" bestFit="1" customWidth="1"/>
    <col min="19" max="16384" width="9.28515625" style="13"/>
  </cols>
  <sheetData>
    <row r="1" spans="1:17" ht="48" customHeight="1" thickBot="1">
      <c r="A1" s="1715" t="s">
        <v>1740</v>
      </c>
      <c r="B1" s="1715"/>
      <c r="C1" s="1715"/>
      <c r="D1" s="1715"/>
      <c r="E1" s="1715"/>
      <c r="F1" s="1715"/>
      <c r="G1" s="1715"/>
      <c r="H1" s="1715"/>
      <c r="I1" s="1715"/>
      <c r="J1" s="1715"/>
      <c r="K1" s="1715"/>
      <c r="L1" s="1715"/>
      <c r="M1" s="1715"/>
      <c r="N1" s="1715"/>
      <c r="O1" s="208"/>
    </row>
    <row r="2" spans="1:17" ht="20.25" customHeight="1">
      <c r="A2" s="1716" t="s">
        <v>0</v>
      </c>
      <c r="B2" s="1718" t="s">
        <v>1345</v>
      </c>
      <c r="C2" s="1718" t="s">
        <v>8</v>
      </c>
      <c r="D2" s="22"/>
      <c r="E2" s="211"/>
      <c r="F2" s="211"/>
      <c r="G2" s="211"/>
      <c r="H2" s="1720" t="s">
        <v>1758</v>
      </c>
      <c r="I2" s="1721"/>
      <c r="J2" s="1721"/>
      <c r="K2" s="1721"/>
      <c r="L2" s="1721"/>
      <c r="M2" s="1721"/>
      <c r="N2" s="1721"/>
      <c r="O2" s="1722"/>
      <c r="P2" s="1713" t="s">
        <v>9</v>
      </c>
    </row>
    <row r="3" spans="1:17" ht="58.5" customHeight="1" thickBot="1">
      <c r="A3" s="1717"/>
      <c r="B3" s="1719"/>
      <c r="C3" s="1719"/>
      <c r="D3" s="23" t="s">
        <v>52</v>
      </c>
      <c r="E3" s="120" t="s">
        <v>53</v>
      </c>
      <c r="F3" s="120" t="s">
        <v>54</v>
      </c>
      <c r="G3" s="120" t="s">
        <v>55</v>
      </c>
      <c r="H3" s="120" t="s">
        <v>1392</v>
      </c>
      <c r="I3" s="120" t="s">
        <v>1425</v>
      </c>
      <c r="J3" s="212" t="s">
        <v>1417</v>
      </c>
      <c r="K3" s="212" t="s">
        <v>1428</v>
      </c>
      <c r="L3" s="212" t="s">
        <v>1432</v>
      </c>
      <c r="M3" s="212" t="s">
        <v>1463</v>
      </c>
      <c r="N3" s="212" t="s">
        <v>1537</v>
      </c>
      <c r="O3" s="212" t="s">
        <v>1739</v>
      </c>
      <c r="P3" s="1714"/>
    </row>
    <row r="4" spans="1:17" ht="76.900000000000006" customHeight="1">
      <c r="A4" s="174" t="s">
        <v>21</v>
      </c>
      <c r="B4" s="150" t="s">
        <v>1346</v>
      </c>
      <c r="C4" s="25"/>
      <c r="D4" s="26">
        <v>12</v>
      </c>
      <c r="E4" s="27">
        <v>12</v>
      </c>
      <c r="F4" s="28">
        <v>12</v>
      </c>
      <c r="G4" s="28">
        <v>13</v>
      </c>
      <c r="H4" s="28"/>
      <c r="I4" s="162"/>
      <c r="J4" s="162"/>
      <c r="K4" s="162"/>
      <c r="L4" s="162"/>
      <c r="M4" s="162"/>
      <c r="N4" s="63"/>
      <c r="O4" s="63"/>
      <c r="P4" s="63"/>
    </row>
    <row r="5" spans="1:17" ht="15" customHeight="1">
      <c r="A5" s="41">
        <v>1</v>
      </c>
      <c r="B5" s="50" t="s">
        <v>1347</v>
      </c>
      <c r="C5" s="25" t="s">
        <v>1348</v>
      </c>
      <c r="D5" s="26">
        <v>40</v>
      </c>
      <c r="E5" s="27">
        <v>71</v>
      </c>
      <c r="F5" s="28">
        <v>90</v>
      </c>
      <c r="G5" s="28">
        <v>94</v>
      </c>
      <c r="H5" s="28">
        <v>58</v>
      </c>
      <c r="I5" s="28">
        <v>58</v>
      </c>
      <c r="J5" s="213">
        <f>I5</f>
        <v>58</v>
      </c>
      <c r="K5" s="213">
        <f>J5</f>
        <v>58</v>
      </c>
      <c r="L5" s="213">
        <f>K5+2</f>
        <v>60</v>
      </c>
      <c r="M5" s="213">
        <f>L5*1.15</f>
        <v>69</v>
      </c>
      <c r="N5" s="190">
        <f>M5</f>
        <v>69</v>
      </c>
      <c r="O5" s="229">
        <f>ROUNDDOWN(N5*1.1,0)</f>
        <v>75</v>
      </c>
      <c r="P5" s="190"/>
      <c r="Q5" s="13" t="s">
        <v>2022</v>
      </c>
    </row>
    <row r="6" spans="1:17" ht="15" customHeight="1">
      <c r="A6" s="132">
        <v>2</v>
      </c>
      <c r="B6" s="50" t="s">
        <v>1349</v>
      </c>
      <c r="C6" s="25" t="s">
        <v>1348</v>
      </c>
      <c r="D6" s="26">
        <v>40</v>
      </c>
      <c r="E6" s="27"/>
      <c r="F6" s="28"/>
      <c r="G6" s="28">
        <v>50</v>
      </c>
      <c r="H6" s="28">
        <v>85</v>
      </c>
      <c r="I6" s="28">
        <v>85</v>
      </c>
      <c r="J6" s="213">
        <f t="shared" ref="J6:J10" si="0">I6</f>
        <v>85</v>
      </c>
      <c r="K6" s="213">
        <f t="shared" ref="K6:K10" si="1">J6</f>
        <v>85</v>
      </c>
      <c r="L6" s="213">
        <f t="shared" ref="L6:L10" si="2">K6+2</f>
        <v>87</v>
      </c>
      <c r="M6" s="213">
        <f t="shared" ref="M6:M10" si="3">L6*1.15</f>
        <v>100.05</v>
      </c>
      <c r="N6" s="190">
        <f t="shared" ref="N6:N10" si="4">M6</f>
        <v>100.05</v>
      </c>
      <c r="O6" s="229">
        <f t="shared" ref="O6:O10" si="5">ROUNDDOWN(N6*1.1,0)</f>
        <v>110</v>
      </c>
      <c r="P6" s="190"/>
      <c r="Q6" s="13" t="s">
        <v>2022</v>
      </c>
    </row>
    <row r="7" spans="1:17" ht="15" customHeight="1">
      <c r="A7" s="41">
        <v>3</v>
      </c>
      <c r="B7" s="50" t="s">
        <v>1350</v>
      </c>
      <c r="C7" s="25" t="s">
        <v>1348</v>
      </c>
      <c r="D7" s="26">
        <v>100</v>
      </c>
      <c r="E7" s="27">
        <v>120</v>
      </c>
      <c r="F7" s="28">
        <v>120</v>
      </c>
      <c r="G7" s="28">
        <v>80</v>
      </c>
      <c r="H7" s="28">
        <v>175</v>
      </c>
      <c r="I7" s="28">
        <v>175</v>
      </c>
      <c r="J7" s="213">
        <f t="shared" si="0"/>
        <v>175</v>
      </c>
      <c r="K7" s="213">
        <f t="shared" si="1"/>
        <v>175</v>
      </c>
      <c r="L7" s="213">
        <f t="shared" si="2"/>
        <v>177</v>
      </c>
      <c r="M7" s="213">
        <f t="shared" si="3"/>
        <v>203.54999999999998</v>
      </c>
      <c r="N7" s="190">
        <f t="shared" si="4"/>
        <v>203.54999999999998</v>
      </c>
      <c r="O7" s="229">
        <f t="shared" si="5"/>
        <v>223</v>
      </c>
      <c r="P7" s="190"/>
      <c r="Q7" s="13" t="s">
        <v>2022</v>
      </c>
    </row>
    <row r="8" spans="1:17" ht="15" customHeight="1">
      <c r="A8" s="132">
        <v>4</v>
      </c>
      <c r="B8" s="50" t="s">
        <v>1351</v>
      </c>
      <c r="C8" s="25" t="s">
        <v>1348</v>
      </c>
      <c r="D8" s="26">
        <v>25</v>
      </c>
      <c r="E8" s="27">
        <v>55</v>
      </c>
      <c r="F8" s="28">
        <v>55</v>
      </c>
      <c r="G8" s="28">
        <v>58</v>
      </c>
      <c r="H8" s="28">
        <v>400</v>
      </c>
      <c r="I8" s="28">
        <v>400</v>
      </c>
      <c r="J8" s="213">
        <f t="shared" si="0"/>
        <v>400</v>
      </c>
      <c r="K8" s="213">
        <f t="shared" si="1"/>
        <v>400</v>
      </c>
      <c r="L8" s="213">
        <f t="shared" si="2"/>
        <v>402</v>
      </c>
      <c r="M8" s="213">
        <f t="shared" si="3"/>
        <v>462.29999999999995</v>
      </c>
      <c r="N8" s="190">
        <f t="shared" si="4"/>
        <v>462.29999999999995</v>
      </c>
      <c r="O8" s="229">
        <f t="shared" si="5"/>
        <v>508</v>
      </c>
      <c r="P8" s="190"/>
      <c r="Q8" s="13" t="s">
        <v>2022</v>
      </c>
    </row>
    <row r="9" spans="1:17" ht="15" customHeight="1">
      <c r="A9" s="41">
        <v>5</v>
      </c>
      <c r="B9" s="50" t="s">
        <v>1352</v>
      </c>
      <c r="C9" s="25" t="s">
        <v>1348</v>
      </c>
      <c r="D9" s="31"/>
      <c r="E9" s="32"/>
      <c r="F9" s="33"/>
      <c r="G9" s="33"/>
      <c r="H9" s="28">
        <v>1070</v>
      </c>
      <c r="I9" s="28">
        <v>1070</v>
      </c>
      <c r="J9" s="213">
        <f t="shared" si="0"/>
        <v>1070</v>
      </c>
      <c r="K9" s="213">
        <f t="shared" si="1"/>
        <v>1070</v>
      </c>
      <c r="L9" s="213">
        <f t="shared" si="2"/>
        <v>1072</v>
      </c>
      <c r="M9" s="213">
        <f t="shared" si="3"/>
        <v>1232.8</v>
      </c>
      <c r="N9" s="190">
        <f t="shared" si="4"/>
        <v>1232.8</v>
      </c>
      <c r="O9" s="229">
        <f t="shared" si="5"/>
        <v>1356</v>
      </c>
      <c r="P9" s="190"/>
      <c r="Q9" s="13" t="s">
        <v>2022</v>
      </c>
    </row>
    <row r="10" spans="1:17" ht="15" customHeight="1">
      <c r="A10" s="65" t="s">
        <v>23</v>
      </c>
      <c r="B10" s="50" t="s">
        <v>1353</v>
      </c>
      <c r="C10" s="25" t="s">
        <v>1348</v>
      </c>
      <c r="D10" s="26">
        <v>200</v>
      </c>
      <c r="E10" s="27">
        <v>550</v>
      </c>
      <c r="F10" s="28">
        <v>605</v>
      </c>
      <c r="G10" s="28">
        <v>660</v>
      </c>
      <c r="H10" s="28">
        <v>50</v>
      </c>
      <c r="I10" s="28">
        <v>50</v>
      </c>
      <c r="J10" s="213">
        <f t="shared" si="0"/>
        <v>50</v>
      </c>
      <c r="K10" s="213">
        <f t="shared" si="1"/>
        <v>50</v>
      </c>
      <c r="L10" s="213">
        <f t="shared" si="2"/>
        <v>52</v>
      </c>
      <c r="M10" s="213">
        <f t="shared" si="3"/>
        <v>59.8</v>
      </c>
      <c r="N10" s="190">
        <f t="shared" si="4"/>
        <v>59.8</v>
      </c>
      <c r="O10" s="229">
        <f t="shared" si="5"/>
        <v>65</v>
      </c>
      <c r="P10" s="190"/>
      <c r="Q10" s="13" t="s">
        <v>2022</v>
      </c>
    </row>
    <row r="11" spans="1:17" ht="18" thickBot="1">
      <c r="A11" s="129"/>
      <c r="B11" s="130"/>
      <c r="C11" s="74"/>
      <c r="D11" s="74"/>
      <c r="E11" s="57"/>
      <c r="F11" s="57"/>
      <c r="G11" s="57"/>
      <c r="H11" s="57"/>
      <c r="I11" s="58"/>
      <c r="J11" s="58"/>
      <c r="K11" s="58"/>
      <c r="L11" s="58"/>
      <c r="M11" s="58"/>
      <c r="N11" s="131"/>
      <c r="O11" s="131"/>
      <c r="P11" s="131"/>
    </row>
    <row r="12" spans="1:17" ht="17.25">
      <c r="A12" s="133"/>
      <c r="B12" s="134"/>
      <c r="C12" s="135"/>
      <c r="D12" s="135"/>
      <c r="E12" s="59"/>
      <c r="F12" s="59"/>
      <c r="G12" s="59"/>
      <c r="H12" s="59"/>
      <c r="I12" s="59"/>
      <c r="J12" s="59"/>
      <c r="K12" s="59"/>
      <c r="L12" s="59"/>
      <c r="M12" s="59"/>
      <c r="N12" s="135"/>
      <c r="O12" s="135"/>
    </row>
  </sheetData>
  <mergeCells count="6">
    <mergeCell ref="P2:P3"/>
    <mergeCell ref="A1:N1"/>
    <mergeCell ref="A2:A3"/>
    <mergeCell ref="B2:B3"/>
    <mergeCell ref="C2:C3"/>
    <mergeCell ref="H2:O2"/>
  </mergeCells>
  <printOptions horizontalCentered="1"/>
  <pageMargins left="1.24" right="0.19" top="1.03" bottom="0.73" header="0.5" footer="0.56999999999999995"/>
  <pageSetup paperSize="9" scale="81" fitToHeight="0" orientation="portrait" r:id="rId1"/>
  <headerFooter alignWithMargins="0">
    <oddHeader>&amp;Lजिल्ला : नवलपरासी (ब.सु.प.)&amp;Rजिल्ला दररेट आ.व.२०८२/०८३</oddHeader>
    <oddFooter>&amp;C&amp;P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EE0000"/>
    <pageSetUpPr fitToPage="1"/>
  </sheetPr>
  <dimension ref="A1:N99"/>
  <sheetViews>
    <sheetView showWhiteSpace="0" view="pageBreakPreview" zoomScale="150" zoomScaleSheetLayoutView="150" workbookViewId="0">
      <selection activeCell="I4" sqref="I4:I24"/>
    </sheetView>
  </sheetViews>
  <sheetFormatPr defaultRowHeight="19.5"/>
  <cols>
    <col min="1" max="1" width="6.7109375" style="100" customWidth="1"/>
    <col min="2" max="2" width="9.28515625" style="82" customWidth="1"/>
    <col min="3" max="3" width="11" style="82" customWidth="1"/>
    <col min="4" max="4" width="9.28515625" style="82" customWidth="1"/>
    <col min="5" max="5" width="12.5703125" style="82" customWidth="1"/>
    <col min="6" max="6" width="13.42578125" style="82" customWidth="1"/>
    <col min="7" max="7" width="14" style="82" customWidth="1"/>
    <col min="8" max="8" width="15" style="82" customWidth="1"/>
    <col min="9" max="9" width="8.7109375" style="82" customWidth="1"/>
    <col min="10" max="10" width="11.7109375" style="82" bestFit="1" customWidth="1"/>
    <col min="11" max="11" width="10.7109375" style="82" bestFit="1" customWidth="1"/>
    <col min="12" max="12" width="11.42578125" style="82" bestFit="1" customWidth="1"/>
    <col min="13" max="13" width="16.7109375" style="82" customWidth="1"/>
    <col min="14" max="14" width="8.5703125" style="82" bestFit="1" customWidth="1"/>
    <col min="15" max="247" width="9.28515625" style="82"/>
    <col min="248" max="248" width="7.5703125" style="82" customWidth="1"/>
    <col min="249" max="249" width="7.28515625" style="82" customWidth="1"/>
    <col min="250" max="250" width="9.28515625" style="82"/>
    <col min="251" max="251" width="12.28515625" style="82" customWidth="1"/>
    <col min="252" max="252" width="12.7109375" style="82" customWidth="1"/>
    <col min="253" max="253" width="10.7109375" style="82" customWidth="1"/>
    <col min="254" max="255" width="11.5703125" style="82" customWidth="1"/>
    <col min="256" max="256" width="11.42578125" style="82" customWidth="1"/>
    <col min="257" max="258" width="9.28515625" style="82"/>
    <col min="259" max="259" width="11" style="82" customWidth="1"/>
    <col min="260" max="503" width="9.28515625" style="82"/>
    <col min="504" max="504" width="7.5703125" style="82" customWidth="1"/>
    <col min="505" max="505" width="7.28515625" style="82" customWidth="1"/>
    <col min="506" max="506" width="9.28515625" style="82"/>
    <col min="507" max="507" width="12.28515625" style="82" customWidth="1"/>
    <col min="508" max="508" width="12.7109375" style="82" customWidth="1"/>
    <col min="509" max="509" width="10.7109375" style="82" customWidth="1"/>
    <col min="510" max="511" width="11.5703125" style="82" customWidth="1"/>
    <col min="512" max="512" width="11.42578125" style="82" customWidth="1"/>
    <col min="513" max="514" width="9.28515625" style="82"/>
    <col min="515" max="515" width="11" style="82" customWidth="1"/>
    <col min="516" max="759" width="9.28515625" style="82"/>
    <col min="760" max="760" width="7.5703125" style="82" customWidth="1"/>
    <col min="761" max="761" width="7.28515625" style="82" customWidth="1"/>
    <col min="762" max="762" width="9.28515625" style="82"/>
    <col min="763" max="763" width="12.28515625" style="82" customWidth="1"/>
    <col min="764" max="764" width="12.7109375" style="82" customWidth="1"/>
    <col min="765" max="765" width="10.7109375" style="82" customWidth="1"/>
    <col min="766" max="767" width="11.5703125" style="82" customWidth="1"/>
    <col min="768" max="768" width="11.42578125" style="82" customWidth="1"/>
    <col min="769" max="770" width="9.28515625" style="82"/>
    <col min="771" max="771" width="11" style="82" customWidth="1"/>
    <col min="772" max="1015" width="9.28515625" style="82"/>
    <col min="1016" max="1016" width="7.5703125" style="82" customWidth="1"/>
    <col min="1017" max="1017" width="7.28515625" style="82" customWidth="1"/>
    <col min="1018" max="1018" width="9.28515625" style="82"/>
    <col min="1019" max="1019" width="12.28515625" style="82" customWidth="1"/>
    <col min="1020" max="1020" width="12.7109375" style="82" customWidth="1"/>
    <col min="1021" max="1021" width="10.7109375" style="82" customWidth="1"/>
    <col min="1022" max="1023" width="11.5703125" style="82" customWidth="1"/>
    <col min="1024" max="1024" width="11.42578125" style="82" customWidth="1"/>
    <col min="1025" max="1026" width="9.28515625" style="82"/>
    <col min="1027" max="1027" width="11" style="82" customWidth="1"/>
    <col min="1028" max="1271" width="9.28515625" style="82"/>
    <col min="1272" max="1272" width="7.5703125" style="82" customWidth="1"/>
    <col min="1273" max="1273" width="7.28515625" style="82" customWidth="1"/>
    <col min="1274" max="1274" width="9.28515625" style="82"/>
    <col min="1275" max="1275" width="12.28515625" style="82" customWidth="1"/>
    <col min="1276" max="1276" width="12.7109375" style="82" customWidth="1"/>
    <col min="1277" max="1277" width="10.7109375" style="82" customWidth="1"/>
    <col min="1278" max="1279" width="11.5703125" style="82" customWidth="1"/>
    <col min="1280" max="1280" width="11.42578125" style="82" customWidth="1"/>
    <col min="1281" max="1282" width="9.28515625" style="82"/>
    <col min="1283" max="1283" width="11" style="82" customWidth="1"/>
    <col min="1284" max="1527" width="9.28515625" style="82"/>
    <col min="1528" max="1528" width="7.5703125" style="82" customWidth="1"/>
    <col min="1529" max="1529" width="7.28515625" style="82" customWidth="1"/>
    <col min="1530" max="1530" width="9.28515625" style="82"/>
    <col min="1531" max="1531" width="12.28515625" style="82" customWidth="1"/>
    <col min="1532" max="1532" width="12.7109375" style="82" customWidth="1"/>
    <col min="1533" max="1533" width="10.7109375" style="82" customWidth="1"/>
    <col min="1534" max="1535" width="11.5703125" style="82" customWidth="1"/>
    <col min="1536" max="1536" width="11.42578125" style="82" customWidth="1"/>
    <col min="1537" max="1538" width="9.28515625" style="82"/>
    <col min="1539" max="1539" width="11" style="82" customWidth="1"/>
    <col min="1540" max="1783" width="9.28515625" style="82"/>
    <col min="1784" max="1784" width="7.5703125" style="82" customWidth="1"/>
    <col min="1785" max="1785" width="7.28515625" style="82" customWidth="1"/>
    <col min="1786" max="1786" width="9.28515625" style="82"/>
    <col min="1787" max="1787" width="12.28515625" style="82" customWidth="1"/>
    <col min="1788" max="1788" width="12.7109375" style="82" customWidth="1"/>
    <col min="1789" max="1789" width="10.7109375" style="82" customWidth="1"/>
    <col min="1790" max="1791" width="11.5703125" style="82" customWidth="1"/>
    <col min="1792" max="1792" width="11.42578125" style="82" customWidth="1"/>
    <col min="1793" max="1794" width="9.28515625" style="82"/>
    <col min="1795" max="1795" width="11" style="82" customWidth="1"/>
    <col min="1796" max="2039" width="9.28515625" style="82"/>
    <col min="2040" max="2040" width="7.5703125" style="82" customWidth="1"/>
    <col min="2041" max="2041" width="7.28515625" style="82" customWidth="1"/>
    <col min="2042" max="2042" width="9.28515625" style="82"/>
    <col min="2043" max="2043" width="12.28515625" style="82" customWidth="1"/>
    <col min="2044" max="2044" width="12.7109375" style="82" customWidth="1"/>
    <col min="2045" max="2045" width="10.7109375" style="82" customWidth="1"/>
    <col min="2046" max="2047" width="11.5703125" style="82" customWidth="1"/>
    <col min="2048" max="2048" width="11.42578125" style="82" customWidth="1"/>
    <col min="2049" max="2050" width="9.28515625" style="82"/>
    <col min="2051" max="2051" width="11" style="82" customWidth="1"/>
    <col min="2052" max="2295" width="9.28515625" style="82"/>
    <col min="2296" max="2296" width="7.5703125" style="82" customWidth="1"/>
    <col min="2297" max="2297" width="7.28515625" style="82" customWidth="1"/>
    <col min="2298" max="2298" width="9.28515625" style="82"/>
    <col min="2299" max="2299" width="12.28515625" style="82" customWidth="1"/>
    <col min="2300" max="2300" width="12.7109375" style="82" customWidth="1"/>
    <col min="2301" max="2301" width="10.7109375" style="82" customWidth="1"/>
    <col min="2302" max="2303" width="11.5703125" style="82" customWidth="1"/>
    <col min="2304" max="2304" width="11.42578125" style="82" customWidth="1"/>
    <col min="2305" max="2306" width="9.28515625" style="82"/>
    <col min="2307" max="2307" width="11" style="82" customWidth="1"/>
    <col min="2308" max="2551" width="9.28515625" style="82"/>
    <col min="2552" max="2552" width="7.5703125" style="82" customWidth="1"/>
    <col min="2553" max="2553" width="7.28515625" style="82" customWidth="1"/>
    <col min="2554" max="2554" width="9.28515625" style="82"/>
    <col min="2555" max="2555" width="12.28515625" style="82" customWidth="1"/>
    <col min="2556" max="2556" width="12.7109375" style="82" customWidth="1"/>
    <col min="2557" max="2557" width="10.7109375" style="82" customWidth="1"/>
    <col min="2558" max="2559" width="11.5703125" style="82" customWidth="1"/>
    <col min="2560" max="2560" width="11.42578125" style="82" customWidth="1"/>
    <col min="2561" max="2562" width="9.28515625" style="82"/>
    <col min="2563" max="2563" width="11" style="82" customWidth="1"/>
    <col min="2564" max="2807" width="9.28515625" style="82"/>
    <col min="2808" max="2808" width="7.5703125" style="82" customWidth="1"/>
    <col min="2809" max="2809" width="7.28515625" style="82" customWidth="1"/>
    <col min="2810" max="2810" width="9.28515625" style="82"/>
    <col min="2811" max="2811" width="12.28515625" style="82" customWidth="1"/>
    <col min="2812" max="2812" width="12.7109375" style="82" customWidth="1"/>
    <col min="2813" max="2813" width="10.7109375" style="82" customWidth="1"/>
    <col min="2814" max="2815" width="11.5703125" style="82" customWidth="1"/>
    <col min="2816" max="2816" width="11.42578125" style="82" customWidth="1"/>
    <col min="2817" max="2818" width="9.28515625" style="82"/>
    <col min="2819" max="2819" width="11" style="82" customWidth="1"/>
    <col min="2820" max="3063" width="9.28515625" style="82"/>
    <col min="3064" max="3064" width="7.5703125" style="82" customWidth="1"/>
    <col min="3065" max="3065" width="7.28515625" style="82" customWidth="1"/>
    <col min="3066" max="3066" width="9.28515625" style="82"/>
    <col min="3067" max="3067" width="12.28515625" style="82" customWidth="1"/>
    <col min="3068" max="3068" width="12.7109375" style="82" customWidth="1"/>
    <col min="3069" max="3069" width="10.7109375" style="82" customWidth="1"/>
    <col min="3070" max="3071" width="11.5703125" style="82" customWidth="1"/>
    <col min="3072" max="3072" width="11.42578125" style="82" customWidth="1"/>
    <col min="3073" max="3074" width="9.28515625" style="82"/>
    <col min="3075" max="3075" width="11" style="82" customWidth="1"/>
    <col min="3076" max="3319" width="9.28515625" style="82"/>
    <col min="3320" max="3320" width="7.5703125" style="82" customWidth="1"/>
    <col min="3321" max="3321" width="7.28515625" style="82" customWidth="1"/>
    <col min="3322" max="3322" width="9.28515625" style="82"/>
    <col min="3323" max="3323" width="12.28515625" style="82" customWidth="1"/>
    <col min="3324" max="3324" width="12.7109375" style="82" customWidth="1"/>
    <col min="3325" max="3325" width="10.7109375" style="82" customWidth="1"/>
    <col min="3326" max="3327" width="11.5703125" style="82" customWidth="1"/>
    <col min="3328" max="3328" width="11.42578125" style="82" customWidth="1"/>
    <col min="3329" max="3330" width="9.28515625" style="82"/>
    <col min="3331" max="3331" width="11" style="82" customWidth="1"/>
    <col min="3332" max="3575" width="9.28515625" style="82"/>
    <col min="3576" max="3576" width="7.5703125" style="82" customWidth="1"/>
    <col min="3577" max="3577" width="7.28515625" style="82" customWidth="1"/>
    <col min="3578" max="3578" width="9.28515625" style="82"/>
    <col min="3579" max="3579" width="12.28515625" style="82" customWidth="1"/>
    <col min="3580" max="3580" width="12.7109375" style="82" customWidth="1"/>
    <col min="3581" max="3581" width="10.7109375" style="82" customWidth="1"/>
    <col min="3582" max="3583" width="11.5703125" style="82" customWidth="1"/>
    <col min="3584" max="3584" width="11.42578125" style="82" customWidth="1"/>
    <col min="3585" max="3586" width="9.28515625" style="82"/>
    <col min="3587" max="3587" width="11" style="82" customWidth="1"/>
    <col min="3588" max="3831" width="9.28515625" style="82"/>
    <col min="3832" max="3832" width="7.5703125" style="82" customWidth="1"/>
    <col min="3833" max="3833" width="7.28515625" style="82" customWidth="1"/>
    <col min="3834" max="3834" width="9.28515625" style="82"/>
    <col min="3835" max="3835" width="12.28515625" style="82" customWidth="1"/>
    <col min="3836" max="3836" width="12.7109375" style="82" customWidth="1"/>
    <col min="3837" max="3837" width="10.7109375" style="82" customWidth="1"/>
    <col min="3838" max="3839" width="11.5703125" style="82" customWidth="1"/>
    <col min="3840" max="3840" width="11.42578125" style="82" customWidth="1"/>
    <col min="3841" max="3842" width="9.28515625" style="82"/>
    <col min="3843" max="3843" width="11" style="82" customWidth="1"/>
    <col min="3844" max="4087" width="9.28515625" style="82"/>
    <col min="4088" max="4088" width="7.5703125" style="82" customWidth="1"/>
    <col min="4089" max="4089" width="7.28515625" style="82" customWidth="1"/>
    <col min="4090" max="4090" width="9.28515625" style="82"/>
    <col min="4091" max="4091" width="12.28515625" style="82" customWidth="1"/>
    <col min="4092" max="4092" width="12.7109375" style="82" customWidth="1"/>
    <col min="4093" max="4093" width="10.7109375" style="82" customWidth="1"/>
    <col min="4094" max="4095" width="11.5703125" style="82" customWidth="1"/>
    <col min="4096" max="4096" width="11.42578125" style="82" customWidth="1"/>
    <col min="4097" max="4098" width="9.28515625" style="82"/>
    <col min="4099" max="4099" width="11" style="82" customWidth="1"/>
    <col min="4100" max="4343" width="9.28515625" style="82"/>
    <col min="4344" max="4344" width="7.5703125" style="82" customWidth="1"/>
    <col min="4345" max="4345" width="7.28515625" style="82" customWidth="1"/>
    <col min="4346" max="4346" width="9.28515625" style="82"/>
    <col min="4347" max="4347" width="12.28515625" style="82" customWidth="1"/>
    <col min="4348" max="4348" width="12.7109375" style="82" customWidth="1"/>
    <col min="4349" max="4349" width="10.7109375" style="82" customWidth="1"/>
    <col min="4350" max="4351" width="11.5703125" style="82" customWidth="1"/>
    <col min="4352" max="4352" width="11.42578125" style="82" customWidth="1"/>
    <col min="4353" max="4354" width="9.28515625" style="82"/>
    <col min="4355" max="4355" width="11" style="82" customWidth="1"/>
    <col min="4356" max="4599" width="9.28515625" style="82"/>
    <col min="4600" max="4600" width="7.5703125" style="82" customWidth="1"/>
    <col min="4601" max="4601" width="7.28515625" style="82" customWidth="1"/>
    <col min="4602" max="4602" width="9.28515625" style="82"/>
    <col min="4603" max="4603" width="12.28515625" style="82" customWidth="1"/>
    <col min="4604" max="4604" width="12.7109375" style="82" customWidth="1"/>
    <col min="4605" max="4605" width="10.7109375" style="82" customWidth="1"/>
    <col min="4606" max="4607" width="11.5703125" style="82" customWidth="1"/>
    <col min="4608" max="4608" width="11.42578125" style="82" customWidth="1"/>
    <col min="4609" max="4610" width="9.28515625" style="82"/>
    <col min="4611" max="4611" width="11" style="82" customWidth="1"/>
    <col min="4612" max="4855" width="9.28515625" style="82"/>
    <col min="4856" max="4856" width="7.5703125" style="82" customWidth="1"/>
    <col min="4857" max="4857" width="7.28515625" style="82" customWidth="1"/>
    <col min="4858" max="4858" width="9.28515625" style="82"/>
    <col min="4859" max="4859" width="12.28515625" style="82" customWidth="1"/>
    <col min="4860" max="4860" width="12.7109375" style="82" customWidth="1"/>
    <col min="4861" max="4861" width="10.7109375" style="82" customWidth="1"/>
    <col min="4862" max="4863" width="11.5703125" style="82" customWidth="1"/>
    <col min="4864" max="4864" width="11.42578125" style="82" customWidth="1"/>
    <col min="4865" max="4866" width="9.28515625" style="82"/>
    <col min="4867" max="4867" width="11" style="82" customWidth="1"/>
    <col min="4868" max="5111" width="9.28515625" style="82"/>
    <col min="5112" max="5112" width="7.5703125" style="82" customWidth="1"/>
    <col min="5113" max="5113" width="7.28515625" style="82" customWidth="1"/>
    <col min="5114" max="5114" width="9.28515625" style="82"/>
    <col min="5115" max="5115" width="12.28515625" style="82" customWidth="1"/>
    <col min="5116" max="5116" width="12.7109375" style="82" customWidth="1"/>
    <col min="5117" max="5117" width="10.7109375" style="82" customWidth="1"/>
    <col min="5118" max="5119" width="11.5703125" style="82" customWidth="1"/>
    <col min="5120" max="5120" width="11.42578125" style="82" customWidth="1"/>
    <col min="5121" max="5122" width="9.28515625" style="82"/>
    <col min="5123" max="5123" width="11" style="82" customWidth="1"/>
    <col min="5124" max="5367" width="9.28515625" style="82"/>
    <col min="5368" max="5368" width="7.5703125" style="82" customWidth="1"/>
    <col min="5369" max="5369" width="7.28515625" style="82" customWidth="1"/>
    <col min="5370" max="5370" width="9.28515625" style="82"/>
    <col min="5371" max="5371" width="12.28515625" style="82" customWidth="1"/>
    <col min="5372" max="5372" width="12.7109375" style="82" customWidth="1"/>
    <col min="5373" max="5373" width="10.7109375" style="82" customWidth="1"/>
    <col min="5374" max="5375" width="11.5703125" style="82" customWidth="1"/>
    <col min="5376" max="5376" width="11.42578125" style="82" customWidth="1"/>
    <col min="5377" max="5378" width="9.28515625" style="82"/>
    <col min="5379" max="5379" width="11" style="82" customWidth="1"/>
    <col min="5380" max="5623" width="9.28515625" style="82"/>
    <col min="5624" max="5624" width="7.5703125" style="82" customWidth="1"/>
    <col min="5625" max="5625" width="7.28515625" style="82" customWidth="1"/>
    <col min="5626" max="5626" width="9.28515625" style="82"/>
    <col min="5627" max="5627" width="12.28515625" style="82" customWidth="1"/>
    <col min="5628" max="5628" width="12.7109375" style="82" customWidth="1"/>
    <col min="5629" max="5629" width="10.7109375" style="82" customWidth="1"/>
    <col min="5630" max="5631" width="11.5703125" style="82" customWidth="1"/>
    <col min="5632" max="5632" width="11.42578125" style="82" customWidth="1"/>
    <col min="5633" max="5634" width="9.28515625" style="82"/>
    <col min="5635" max="5635" width="11" style="82" customWidth="1"/>
    <col min="5636" max="5879" width="9.28515625" style="82"/>
    <col min="5880" max="5880" width="7.5703125" style="82" customWidth="1"/>
    <col min="5881" max="5881" width="7.28515625" style="82" customWidth="1"/>
    <col min="5882" max="5882" width="9.28515625" style="82"/>
    <col min="5883" max="5883" width="12.28515625" style="82" customWidth="1"/>
    <col min="5884" max="5884" width="12.7109375" style="82" customWidth="1"/>
    <col min="5885" max="5885" width="10.7109375" style="82" customWidth="1"/>
    <col min="5886" max="5887" width="11.5703125" style="82" customWidth="1"/>
    <col min="5888" max="5888" width="11.42578125" style="82" customWidth="1"/>
    <col min="5889" max="5890" width="9.28515625" style="82"/>
    <col min="5891" max="5891" width="11" style="82" customWidth="1"/>
    <col min="5892" max="6135" width="9.28515625" style="82"/>
    <col min="6136" max="6136" width="7.5703125" style="82" customWidth="1"/>
    <col min="6137" max="6137" width="7.28515625" style="82" customWidth="1"/>
    <col min="6138" max="6138" width="9.28515625" style="82"/>
    <col min="6139" max="6139" width="12.28515625" style="82" customWidth="1"/>
    <col min="6140" max="6140" width="12.7109375" style="82" customWidth="1"/>
    <col min="6141" max="6141" width="10.7109375" style="82" customWidth="1"/>
    <col min="6142" max="6143" width="11.5703125" style="82" customWidth="1"/>
    <col min="6144" max="6144" width="11.42578125" style="82" customWidth="1"/>
    <col min="6145" max="6146" width="9.28515625" style="82"/>
    <col min="6147" max="6147" width="11" style="82" customWidth="1"/>
    <col min="6148" max="6391" width="9.28515625" style="82"/>
    <col min="6392" max="6392" width="7.5703125" style="82" customWidth="1"/>
    <col min="6393" max="6393" width="7.28515625" style="82" customWidth="1"/>
    <col min="6394" max="6394" width="9.28515625" style="82"/>
    <col min="6395" max="6395" width="12.28515625" style="82" customWidth="1"/>
    <col min="6396" max="6396" width="12.7109375" style="82" customWidth="1"/>
    <col min="6397" max="6397" width="10.7109375" style="82" customWidth="1"/>
    <col min="6398" max="6399" width="11.5703125" style="82" customWidth="1"/>
    <col min="6400" max="6400" width="11.42578125" style="82" customWidth="1"/>
    <col min="6401" max="6402" width="9.28515625" style="82"/>
    <col min="6403" max="6403" width="11" style="82" customWidth="1"/>
    <col min="6404" max="6647" width="9.28515625" style="82"/>
    <col min="6648" max="6648" width="7.5703125" style="82" customWidth="1"/>
    <col min="6649" max="6649" width="7.28515625" style="82" customWidth="1"/>
    <col min="6650" max="6650" width="9.28515625" style="82"/>
    <col min="6651" max="6651" width="12.28515625" style="82" customWidth="1"/>
    <col min="6652" max="6652" width="12.7109375" style="82" customWidth="1"/>
    <col min="6653" max="6653" width="10.7109375" style="82" customWidth="1"/>
    <col min="6654" max="6655" width="11.5703125" style="82" customWidth="1"/>
    <col min="6656" max="6656" width="11.42578125" style="82" customWidth="1"/>
    <col min="6657" max="6658" width="9.28515625" style="82"/>
    <col min="6659" max="6659" width="11" style="82" customWidth="1"/>
    <col min="6660" max="6903" width="9.28515625" style="82"/>
    <col min="6904" max="6904" width="7.5703125" style="82" customWidth="1"/>
    <col min="6905" max="6905" width="7.28515625" style="82" customWidth="1"/>
    <col min="6906" max="6906" width="9.28515625" style="82"/>
    <col min="6907" max="6907" width="12.28515625" style="82" customWidth="1"/>
    <col min="6908" max="6908" width="12.7109375" style="82" customWidth="1"/>
    <col min="6909" max="6909" width="10.7109375" style="82" customWidth="1"/>
    <col min="6910" max="6911" width="11.5703125" style="82" customWidth="1"/>
    <col min="6912" max="6912" width="11.42578125" style="82" customWidth="1"/>
    <col min="6913" max="6914" width="9.28515625" style="82"/>
    <col min="6915" max="6915" width="11" style="82" customWidth="1"/>
    <col min="6916" max="7159" width="9.28515625" style="82"/>
    <col min="7160" max="7160" width="7.5703125" style="82" customWidth="1"/>
    <col min="7161" max="7161" width="7.28515625" style="82" customWidth="1"/>
    <col min="7162" max="7162" width="9.28515625" style="82"/>
    <col min="7163" max="7163" width="12.28515625" style="82" customWidth="1"/>
    <col min="7164" max="7164" width="12.7109375" style="82" customWidth="1"/>
    <col min="7165" max="7165" width="10.7109375" style="82" customWidth="1"/>
    <col min="7166" max="7167" width="11.5703125" style="82" customWidth="1"/>
    <col min="7168" max="7168" width="11.42578125" style="82" customWidth="1"/>
    <col min="7169" max="7170" width="9.28515625" style="82"/>
    <col min="7171" max="7171" width="11" style="82" customWidth="1"/>
    <col min="7172" max="7415" width="9.28515625" style="82"/>
    <col min="7416" max="7416" width="7.5703125" style="82" customWidth="1"/>
    <col min="7417" max="7417" width="7.28515625" style="82" customWidth="1"/>
    <col min="7418" max="7418" width="9.28515625" style="82"/>
    <col min="7419" max="7419" width="12.28515625" style="82" customWidth="1"/>
    <col min="7420" max="7420" width="12.7109375" style="82" customWidth="1"/>
    <col min="7421" max="7421" width="10.7109375" style="82" customWidth="1"/>
    <col min="7422" max="7423" width="11.5703125" style="82" customWidth="1"/>
    <col min="7424" max="7424" width="11.42578125" style="82" customWidth="1"/>
    <col min="7425" max="7426" width="9.28515625" style="82"/>
    <col min="7427" max="7427" width="11" style="82" customWidth="1"/>
    <col min="7428" max="7671" width="9.28515625" style="82"/>
    <col min="7672" max="7672" width="7.5703125" style="82" customWidth="1"/>
    <col min="7673" max="7673" width="7.28515625" style="82" customWidth="1"/>
    <col min="7674" max="7674" width="9.28515625" style="82"/>
    <col min="7675" max="7675" width="12.28515625" style="82" customWidth="1"/>
    <col min="7676" max="7676" width="12.7109375" style="82" customWidth="1"/>
    <col min="7677" max="7677" width="10.7109375" style="82" customWidth="1"/>
    <col min="7678" max="7679" width="11.5703125" style="82" customWidth="1"/>
    <col min="7680" max="7680" width="11.42578125" style="82" customWidth="1"/>
    <col min="7681" max="7682" width="9.28515625" style="82"/>
    <col min="7683" max="7683" width="11" style="82" customWidth="1"/>
    <col min="7684" max="7927" width="9.28515625" style="82"/>
    <col min="7928" max="7928" width="7.5703125" style="82" customWidth="1"/>
    <col min="7929" max="7929" width="7.28515625" style="82" customWidth="1"/>
    <col min="7930" max="7930" width="9.28515625" style="82"/>
    <col min="7931" max="7931" width="12.28515625" style="82" customWidth="1"/>
    <col min="7932" max="7932" width="12.7109375" style="82" customWidth="1"/>
    <col min="7933" max="7933" width="10.7109375" style="82" customWidth="1"/>
    <col min="7934" max="7935" width="11.5703125" style="82" customWidth="1"/>
    <col min="7936" max="7936" width="11.42578125" style="82" customWidth="1"/>
    <col min="7937" max="7938" width="9.28515625" style="82"/>
    <col min="7939" max="7939" width="11" style="82" customWidth="1"/>
    <col min="7940" max="8183" width="9.28515625" style="82"/>
    <col min="8184" max="8184" width="7.5703125" style="82" customWidth="1"/>
    <col min="8185" max="8185" width="7.28515625" style="82" customWidth="1"/>
    <col min="8186" max="8186" width="9.28515625" style="82"/>
    <col min="8187" max="8187" width="12.28515625" style="82" customWidth="1"/>
    <col min="8188" max="8188" width="12.7109375" style="82" customWidth="1"/>
    <col min="8189" max="8189" width="10.7109375" style="82" customWidth="1"/>
    <col min="8190" max="8191" width="11.5703125" style="82" customWidth="1"/>
    <col min="8192" max="8192" width="11.42578125" style="82" customWidth="1"/>
    <col min="8193" max="8194" width="9.28515625" style="82"/>
    <col min="8195" max="8195" width="11" style="82" customWidth="1"/>
    <col min="8196" max="8439" width="9.28515625" style="82"/>
    <col min="8440" max="8440" width="7.5703125" style="82" customWidth="1"/>
    <col min="8441" max="8441" width="7.28515625" style="82" customWidth="1"/>
    <col min="8442" max="8442" width="9.28515625" style="82"/>
    <col min="8443" max="8443" width="12.28515625" style="82" customWidth="1"/>
    <col min="8444" max="8444" width="12.7109375" style="82" customWidth="1"/>
    <col min="8445" max="8445" width="10.7109375" style="82" customWidth="1"/>
    <col min="8446" max="8447" width="11.5703125" style="82" customWidth="1"/>
    <col min="8448" max="8448" width="11.42578125" style="82" customWidth="1"/>
    <col min="8449" max="8450" width="9.28515625" style="82"/>
    <col min="8451" max="8451" width="11" style="82" customWidth="1"/>
    <col min="8452" max="8695" width="9.28515625" style="82"/>
    <col min="8696" max="8696" width="7.5703125" style="82" customWidth="1"/>
    <col min="8697" max="8697" width="7.28515625" style="82" customWidth="1"/>
    <col min="8698" max="8698" width="9.28515625" style="82"/>
    <col min="8699" max="8699" width="12.28515625" style="82" customWidth="1"/>
    <col min="8700" max="8700" width="12.7109375" style="82" customWidth="1"/>
    <col min="8701" max="8701" width="10.7109375" style="82" customWidth="1"/>
    <col min="8702" max="8703" width="11.5703125" style="82" customWidth="1"/>
    <col min="8704" max="8704" width="11.42578125" style="82" customWidth="1"/>
    <col min="8705" max="8706" width="9.28515625" style="82"/>
    <col min="8707" max="8707" width="11" style="82" customWidth="1"/>
    <col min="8708" max="8951" width="9.28515625" style="82"/>
    <col min="8952" max="8952" width="7.5703125" style="82" customWidth="1"/>
    <col min="8953" max="8953" width="7.28515625" style="82" customWidth="1"/>
    <col min="8954" max="8954" width="9.28515625" style="82"/>
    <col min="8955" max="8955" width="12.28515625" style="82" customWidth="1"/>
    <col min="8956" max="8956" width="12.7109375" style="82" customWidth="1"/>
    <col min="8957" max="8957" width="10.7109375" style="82" customWidth="1"/>
    <col min="8958" max="8959" width="11.5703125" style="82" customWidth="1"/>
    <col min="8960" max="8960" width="11.42578125" style="82" customWidth="1"/>
    <col min="8961" max="8962" width="9.28515625" style="82"/>
    <col min="8963" max="8963" width="11" style="82" customWidth="1"/>
    <col min="8964" max="9207" width="9.28515625" style="82"/>
    <col min="9208" max="9208" width="7.5703125" style="82" customWidth="1"/>
    <col min="9209" max="9209" width="7.28515625" style="82" customWidth="1"/>
    <col min="9210" max="9210" width="9.28515625" style="82"/>
    <col min="9211" max="9211" width="12.28515625" style="82" customWidth="1"/>
    <col min="9212" max="9212" width="12.7109375" style="82" customWidth="1"/>
    <col min="9213" max="9213" width="10.7109375" style="82" customWidth="1"/>
    <col min="9214" max="9215" width="11.5703125" style="82" customWidth="1"/>
    <col min="9216" max="9216" width="11.42578125" style="82" customWidth="1"/>
    <col min="9217" max="9218" width="9.28515625" style="82"/>
    <col min="9219" max="9219" width="11" style="82" customWidth="1"/>
    <col min="9220" max="9463" width="9.28515625" style="82"/>
    <col min="9464" max="9464" width="7.5703125" style="82" customWidth="1"/>
    <col min="9465" max="9465" width="7.28515625" style="82" customWidth="1"/>
    <col min="9466" max="9466" width="9.28515625" style="82"/>
    <col min="9467" max="9467" width="12.28515625" style="82" customWidth="1"/>
    <col min="9468" max="9468" width="12.7109375" style="82" customWidth="1"/>
    <col min="9469" max="9469" width="10.7109375" style="82" customWidth="1"/>
    <col min="9470" max="9471" width="11.5703125" style="82" customWidth="1"/>
    <col min="9472" max="9472" width="11.42578125" style="82" customWidth="1"/>
    <col min="9473" max="9474" width="9.28515625" style="82"/>
    <col min="9475" max="9475" width="11" style="82" customWidth="1"/>
    <col min="9476" max="9719" width="9.28515625" style="82"/>
    <col min="9720" max="9720" width="7.5703125" style="82" customWidth="1"/>
    <col min="9721" max="9721" width="7.28515625" style="82" customWidth="1"/>
    <col min="9722" max="9722" width="9.28515625" style="82"/>
    <col min="9723" max="9723" width="12.28515625" style="82" customWidth="1"/>
    <col min="9724" max="9724" width="12.7109375" style="82" customWidth="1"/>
    <col min="9725" max="9725" width="10.7109375" style="82" customWidth="1"/>
    <col min="9726" max="9727" width="11.5703125" style="82" customWidth="1"/>
    <col min="9728" max="9728" width="11.42578125" style="82" customWidth="1"/>
    <col min="9729" max="9730" width="9.28515625" style="82"/>
    <col min="9731" max="9731" width="11" style="82" customWidth="1"/>
    <col min="9732" max="9975" width="9.28515625" style="82"/>
    <col min="9976" max="9976" width="7.5703125" style="82" customWidth="1"/>
    <col min="9977" max="9977" width="7.28515625" style="82" customWidth="1"/>
    <col min="9978" max="9978" width="9.28515625" style="82"/>
    <col min="9979" max="9979" width="12.28515625" style="82" customWidth="1"/>
    <col min="9980" max="9980" width="12.7109375" style="82" customWidth="1"/>
    <col min="9981" max="9981" width="10.7109375" style="82" customWidth="1"/>
    <col min="9982" max="9983" width="11.5703125" style="82" customWidth="1"/>
    <col min="9984" max="9984" width="11.42578125" style="82" customWidth="1"/>
    <col min="9985" max="9986" width="9.28515625" style="82"/>
    <col min="9987" max="9987" width="11" style="82" customWidth="1"/>
    <col min="9988" max="10231" width="9.28515625" style="82"/>
    <col min="10232" max="10232" width="7.5703125" style="82" customWidth="1"/>
    <col min="10233" max="10233" width="7.28515625" style="82" customWidth="1"/>
    <col min="10234" max="10234" width="9.28515625" style="82"/>
    <col min="10235" max="10235" width="12.28515625" style="82" customWidth="1"/>
    <col min="10236" max="10236" width="12.7109375" style="82" customWidth="1"/>
    <col min="10237" max="10237" width="10.7109375" style="82" customWidth="1"/>
    <col min="10238" max="10239" width="11.5703125" style="82" customWidth="1"/>
    <col min="10240" max="10240" width="11.42578125" style="82" customWidth="1"/>
    <col min="10241" max="10242" width="9.28515625" style="82"/>
    <col min="10243" max="10243" width="11" style="82" customWidth="1"/>
    <col min="10244" max="10487" width="9.28515625" style="82"/>
    <col min="10488" max="10488" width="7.5703125" style="82" customWidth="1"/>
    <col min="10489" max="10489" width="7.28515625" style="82" customWidth="1"/>
    <col min="10490" max="10490" width="9.28515625" style="82"/>
    <col min="10491" max="10491" width="12.28515625" style="82" customWidth="1"/>
    <col min="10492" max="10492" width="12.7109375" style="82" customWidth="1"/>
    <col min="10493" max="10493" width="10.7109375" style="82" customWidth="1"/>
    <col min="10494" max="10495" width="11.5703125" style="82" customWidth="1"/>
    <col min="10496" max="10496" width="11.42578125" style="82" customWidth="1"/>
    <col min="10497" max="10498" width="9.28515625" style="82"/>
    <col min="10499" max="10499" width="11" style="82" customWidth="1"/>
    <col min="10500" max="10743" width="9.28515625" style="82"/>
    <col min="10744" max="10744" width="7.5703125" style="82" customWidth="1"/>
    <col min="10745" max="10745" width="7.28515625" style="82" customWidth="1"/>
    <col min="10746" max="10746" width="9.28515625" style="82"/>
    <col min="10747" max="10747" width="12.28515625" style="82" customWidth="1"/>
    <col min="10748" max="10748" width="12.7109375" style="82" customWidth="1"/>
    <col min="10749" max="10749" width="10.7109375" style="82" customWidth="1"/>
    <col min="10750" max="10751" width="11.5703125" style="82" customWidth="1"/>
    <col min="10752" max="10752" width="11.42578125" style="82" customWidth="1"/>
    <col min="10753" max="10754" width="9.28515625" style="82"/>
    <col min="10755" max="10755" width="11" style="82" customWidth="1"/>
    <col min="10756" max="10999" width="9.28515625" style="82"/>
    <col min="11000" max="11000" width="7.5703125" style="82" customWidth="1"/>
    <col min="11001" max="11001" width="7.28515625" style="82" customWidth="1"/>
    <col min="11002" max="11002" width="9.28515625" style="82"/>
    <col min="11003" max="11003" width="12.28515625" style="82" customWidth="1"/>
    <col min="11004" max="11004" width="12.7109375" style="82" customWidth="1"/>
    <col min="11005" max="11005" width="10.7109375" style="82" customWidth="1"/>
    <col min="11006" max="11007" width="11.5703125" style="82" customWidth="1"/>
    <col min="11008" max="11008" width="11.42578125" style="82" customWidth="1"/>
    <col min="11009" max="11010" width="9.28515625" style="82"/>
    <col min="11011" max="11011" width="11" style="82" customWidth="1"/>
    <col min="11012" max="11255" width="9.28515625" style="82"/>
    <col min="11256" max="11256" width="7.5703125" style="82" customWidth="1"/>
    <col min="11257" max="11257" width="7.28515625" style="82" customWidth="1"/>
    <col min="11258" max="11258" width="9.28515625" style="82"/>
    <col min="11259" max="11259" width="12.28515625" style="82" customWidth="1"/>
    <col min="11260" max="11260" width="12.7109375" style="82" customWidth="1"/>
    <col min="11261" max="11261" width="10.7109375" style="82" customWidth="1"/>
    <col min="11262" max="11263" width="11.5703125" style="82" customWidth="1"/>
    <col min="11264" max="11264" width="11.42578125" style="82" customWidth="1"/>
    <col min="11265" max="11266" width="9.28515625" style="82"/>
    <col min="11267" max="11267" width="11" style="82" customWidth="1"/>
    <col min="11268" max="11511" width="9.28515625" style="82"/>
    <col min="11512" max="11512" width="7.5703125" style="82" customWidth="1"/>
    <col min="11513" max="11513" width="7.28515625" style="82" customWidth="1"/>
    <col min="11514" max="11514" width="9.28515625" style="82"/>
    <col min="11515" max="11515" width="12.28515625" style="82" customWidth="1"/>
    <col min="11516" max="11516" width="12.7109375" style="82" customWidth="1"/>
    <col min="11517" max="11517" width="10.7109375" style="82" customWidth="1"/>
    <col min="11518" max="11519" width="11.5703125" style="82" customWidth="1"/>
    <col min="11520" max="11520" width="11.42578125" style="82" customWidth="1"/>
    <col min="11521" max="11522" width="9.28515625" style="82"/>
    <col min="11523" max="11523" width="11" style="82" customWidth="1"/>
    <col min="11524" max="11767" width="9.28515625" style="82"/>
    <col min="11768" max="11768" width="7.5703125" style="82" customWidth="1"/>
    <col min="11769" max="11769" width="7.28515625" style="82" customWidth="1"/>
    <col min="11770" max="11770" width="9.28515625" style="82"/>
    <col min="11771" max="11771" width="12.28515625" style="82" customWidth="1"/>
    <col min="11772" max="11772" width="12.7109375" style="82" customWidth="1"/>
    <col min="11773" max="11773" width="10.7109375" style="82" customWidth="1"/>
    <col min="11774" max="11775" width="11.5703125" style="82" customWidth="1"/>
    <col min="11776" max="11776" width="11.42578125" style="82" customWidth="1"/>
    <col min="11777" max="11778" width="9.28515625" style="82"/>
    <col min="11779" max="11779" width="11" style="82" customWidth="1"/>
    <col min="11780" max="12023" width="9.28515625" style="82"/>
    <col min="12024" max="12024" width="7.5703125" style="82" customWidth="1"/>
    <col min="12025" max="12025" width="7.28515625" style="82" customWidth="1"/>
    <col min="12026" max="12026" width="9.28515625" style="82"/>
    <col min="12027" max="12027" width="12.28515625" style="82" customWidth="1"/>
    <col min="12028" max="12028" width="12.7109375" style="82" customWidth="1"/>
    <col min="12029" max="12029" width="10.7109375" style="82" customWidth="1"/>
    <col min="12030" max="12031" width="11.5703125" style="82" customWidth="1"/>
    <col min="12032" max="12032" width="11.42578125" style="82" customWidth="1"/>
    <col min="12033" max="12034" width="9.28515625" style="82"/>
    <col min="12035" max="12035" width="11" style="82" customWidth="1"/>
    <col min="12036" max="12279" width="9.28515625" style="82"/>
    <col min="12280" max="12280" width="7.5703125" style="82" customWidth="1"/>
    <col min="12281" max="12281" width="7.28515625" style="82" customWidth="1"/>
    <col min="12282" max="12282" width="9.28515625" style="82"/>
    <col min="12283" max="12283" width="12.28515625" style="82" customWidth="1"/>
    <col min="12284" max="12284" width="12.7109375" style="82" customWidth="1"/>
    <col min="12285" max="12285" width="10.7109375" style="82" customWidth="1"/>
    <col min="12286" max="12287" width="11.5703125" style="82" customWidth="1"/>
    <col min="12288" max="12288" width="11.42578125" style="82" customWidth="1"/>
    <col min="12289" max="12290" width="9.28515625" style="82"/>
    <col min="12291" max="12291" width="11" style="82" customWidth="1"/>
    <col min="12292" max="12535" width="9.28515625" style="82"/>
    <col min="12536" max="12536" width="7.5703125" style="82" customWidth="1"/>
    <col min="12537" max="12537" width="7.28515625" style="82" customWidth="1"/>
    <col min="12538" max="12538" width="9.28515625" style="82"/>
    <col min="12539" max="12539" width="12.28515625" style="82" customWidth="1"/>
    <col min="12540" max="12540" width="12.7109375" style="82" customWidth="1"/>
    <col min="12541" max="12541" width="10.7109375" style="82" customWidth="1"/>
    <col min="12542" max="12543" width="11.5703125" style="82" customWidth="1"/>
    <col min="12544" max="12544" width="11.42578125" style="82" customWidth="1"/>
    <col min="12545" max="12546" width="9.28515625" style="82"/>
    <col min="12547" max="12547" width="11" style="82" customWidth="1"/>
    <col min="12548" max="12791" width="9.28515625" style="82"/>
    <col min="12792" max="12792" width="7.5703125" style="82" customWidth="1"/>
    <col min="12793" max="12793" width="7.28515625" style="82" customWidth="1"/>
    <col min="12794" max="12794" width="9.28515625" style="82"/>
    <col min="12795" max="12795" width="12.28515625" style="82" customWidth="1"/>
    <col min="12796" max="12796" width="12.7109375" style="82" customWidth="1"/>
    <col min="12797" max="12797" width="10.7109375" style="82" customWidth="1"/>
    <col min="12798" max="12799" width="11.5703125" style="82" customWidth="1"/>
    <col min="12800" max="12800" width="11.42578125" style="82" customWidth="1"/>
    <col min="12801" max="12802" width="9.28515625" style="82"/>
    <col min="12803" max="12803" width="11" style="82" customWidth="1"/>
    <col min="12804" max="13047" width="9.28515625" style="82"/>
    <col min="13048" max="13048" width="7.5703125" style="82" customWidth="1"/>
    <col min="13049" max="13049" width="7.28515625" style="82" customWidth="1"/>
    <col min="13050" max="13050" width="9.28515625" style="82"/>
    <col min="13051" max="13051" width="12.28515625" style="82" customWidth="1"/>
    <col min="13052" max="13052" width="12.7109375" style="82" customWidth="1"/>
    <col min="13053" max="13053" width="10.7109375" style="82" customWidth="1"/>
    <col min="13054" max="13055" width="11.5703125" style="82" customWidth="1"/>
    <col min="13056" max="13056" width="11.42578125" style="82" customWidth="1"/>
    <col min="13057" max="13058" width="9.28515625" style="82"/>
    <col min="13059" max="13059" width="11" style="82" customWidth="1"/>
    <col min="13060" max="13303" width="9.28515625" style="82"/>
    <col min="13304" max="13304" width="7.5703125" style="82" customWidth="1"/>
    <col min="13305" max="13305" width="7.28515625" style="82" customWidth="1"/>
    <col min="13306" max="13306" width="9.28515625" style="82"/>
    <col min="13307" max="13307" width="12.28515625" style="82" customWidth="1"/>
    <col min="13308" max="13308" width="12.7109375" style="82" customWidth="1"/>
    <col min="13309" max="13309" width="10.7109375" style="82" customWidth="1"/>
    <col min="13310" max="13311" width="11.5703125" style="82" customWidth="1"/>
    <col min="13312" max="13312" width="11.42578125" style="82" customWidth="1"/>
    <col min="13313" max="13314" width="9.28515625" style="82"/>
    <col min="13315" max="13315" width="11" style="82" customWidth="1"/>
    <col min="13316" max="13559" width="9.28515625" style="82"/>
    <col min="13560" max="13560" width="7.5703125" style="82" customWidth="1"/>
    <col min="13561" max="13561" width="7.28515625" style="82" customWidth="1"/>
    <col min="13562" max="13562" width="9.28515625" style="82"/>
    <col min="13563" max="13563" width="12.28515625" style="82" customWidth="1"/>
    <col min="13564" max="13564" width="12.7109375" style="82" customWidth="1"/>
    <col min="13565" max="13565" width="10.7109375" style="82" customWidth="1"/>
    <col min="13566" max="13567" width="11.5703125" style="82" customWidth="1"/>
    <col min="13568" max="13568" width="11.42578125" style="82" customWidth="1"/>
    <col min="13569" max="13570" width="9.28515625" style="82"/>
    <col min="13571" max="13571" width="11" style="82" customWidth="1"/>
    <col min="13572" max="13815" width="9.28515625" style="82"/>
    <col min="13816" max="13816" width="7.5703125" style="82" customWidth="1"/>
    <col min="13817" max="13817" width="7.28515625" style="82" customWidth="1"/>
    <col min="13818" max="13818" width="9.28515625" style="82"/>
    <col min="13819" max="13819" width="12.28515625" style="82" customWidth="1"/>
    <col min="13820" max="13820" width="12.7109375" style="82" customWidth="1"/>
    <col min="13821" max="13821" width="10.7109375" style="82" customWidth="1"/>
    <col min="13822" max="13823" width="11.5703125" style="82" customWidth="1"/>
    <col min="13824" max="13824" width="11.42578125" style="82" customWidth="1"/>
    <col min="13825" max="13826" width="9.28515625" style="82"/>
    <col min="13827" max="13827" width="11" style="82" customWidth="1"/>
    <col min="13828" max="14071" width="9.28515625" style="82"/>
    <col min="14072" max="14072" width="7.5703125" style="82" customWidth="1"/>
    <col min="14073" max="14073" width="7.28515625" style="82" customWidth="1"/>
    <col min="14074" max="14074" width="9.28515625" style="82"/>
    <col min="14075" max="14075" width="12.28515625" style="82" customWidth="1"/>
    <col min="14076" max="14076" width="12.7109375" style="82" customWidth="1"/>
    <col min="14077" max="14077" width="10.7109375" style="82" customWidth="1"/>
    <col min="14078" max="14079" width="11.5703125" style="82" customWidth="1"/>
    <col min="14080" max="14080" width="11.42578125" style="82" customWidth="1"/>
    <col min="14081" max="14082" width="9.28515625" style="82"/>
    <col min="14083" max="14083" width="11" style="82" customWidth="1"/>
    <col min="14084" max="14327" width="9.28515625" style="82"/>
    <col min="14328" max="14328" width="7.5703125" style="82" customWidth="1"/>
    <col min="14329" max="14329" width="7.28515625" style="82" customWidth="1"/>
    <col min="14330" max="14330" width="9.28515625" style="82"/>
    <col min="14331" max="14331" width="12.28515625" style="82" customWidth="1"/>
    <col min="14332" max="14332" width="12.7109375" style="82" customWidth="1"/>
    <col min="14333" max="14333" width="10.7109375" style="82" customWidth="1"/>
    <col min="14334" max="14335" width="11.5703125" style="82" customWidth="1"/>
    <col min="14336" max="14336" width="11.42578125" style="82" customWidth="1"/>
    <col min="14337" max="14338" width="9.28515625" style="82"/>
    <col min="14339" max="14339" width="11" style="82" customWidth="1"/>
    <col min="14340" max="14583" width="9.28515625" style="82"/>
    <col min="14584" max="14584" width="7.5703125" style="82" customWidth="1"/>
    <col min="14585" max="14585" width="7.28515625" style="82" customWidth="1"/>
    <col min="14586" max="14586" width="9.28515625" style="82"/>
    <col min="14587" max="14587" width="12.28515625" style="82" customWidth="1"/>
    <col min="14588" max="14588" width="12.7109375" style="82" customWidth="1"/>
    <col min="14589" max="14589" width="10.7109375" style="82" customWidth="1"/>
    <col min="14590" max="14591" width="11.5703125" style="82" customWidth="1"/>
    <col min="14592" max="14592" width="11.42578125" style="82" customWidth="1"/>
    <col min="14593" max="14594" width="9.28515625" style="82"/>
    <col min="14595" max="14595" width="11" style="82" customWidth="1"/>
    <col min="14596" max="14839" width="9.28515625" style="82"/>
    <col min="14840" max="14840" width="7.5703125" style="82" customWidth="1"/>
    <col min="14841" max="14841" width="7.28515625" style="82" customWidth="1"/>
    <col min="14842" max="14842" width="9.28515625" style="82"/>
    <col min="14843" max="14843" width="12.28515625" style="82" customWidth="1"/>
    <col min="14844" max="14844" width="12.7109375" style="82" customWidth="1"/>
    <col min="14845" max="14845" width="10.7109375" style="82" customWidth="1"/>
    <col min="14846" max="14847" width="11.5703125" style="82" customWidth="1"/>
    <col min="14848" max="14848" width="11.42578125" style="82" customWidth="1"/>
    <col min="14849" max="14850" width="9.28515625" style="82"/>
    <col min="14851" max="14851" width="11" style="82" customWidth="1"/>
    <col min="14852" max="15095" width="9.28515625" style="82"/>
    <col min="15096" max="15096" width="7.5703125" style="82" customWidth="1"/>
    <col min="15097" max="15097" width="7.28515625" style="82" customWidth="1"/>
    <col min="15098" max="15098" width="9.28515625" style="82"/>
    <col min="15099" max="15099" width="12.28515625" style="82" customWidth="1"/>
    <col min="15100" max="15100" width="12.7109375" style="82" customWidth="1"/>
    <col min="15101" max="15101" width="10.7109375" style="82" customWidth="1"/>
    <col min="15102" max="15103" width="11.5703125" style="82" customWidth="1"/>
    <col min="15104" max="15104" width="11.42578125" style="82" customWidth="1"/>
    <col min="15105" max="15106" width="9.28515625" style="82"/>
    <col min="15107" max="15107" width="11" style="82" customWidth="1"/>
    <col min="15108" max="15351" width="9.28515625" style="82"/>
    <col min="15352" max="15352" width="7.5703125" style="82" customWidth="1"/>
    <col min="15353" max="15353" width="7.28515625" style="82" customWidth="1"/>
    <col min="15354" max="15354" width="9.28515625" style="82"/>
    <col min="15355" max="15355" width="12.28515625" style="82" customWidth="1"/>
    <col min="15356" max="15356" width="12.7109375" style="82" customWidth="1"/>
    <col min="15357" max="15357" width="10.7109375" style="82" customWidth="1"/>
    <col min="15358" max="15359" width="11.5703125" style="82" customWidth="1"/>
    <col min="15360" max="15360" width="11.42578125" style="82" customWidth="1"/>
    <col min="15361" max="15362" width="9.28515625" style="82"/>
    <col min="15363" max="15363" width="11" style="82" customWidth="1"/>
    <col min="15364" max="15607" width="9.28515625" style="82"/>
    <col min="15608" max="15608" width="7.5703125" style="82" customWidth="1"/>
    <col min="15609" max="15609" width="7.28515625" style="82" customWidth="1"/>
    <col min="15610" max="15610" width="9.28515625" style="82"/>
    <col min="15611" max="15611" width="12.28515625" style="82" customWidth="1"/>
    <col min="15612" max="15612" width="12.7109375" style="82" customWidth="1"/>
    <col min="15613" max="15613" width="10.7109375" style="82" customWidth="1"/>
    <col min="15614" max="15615" width="11.5703125" style="82" customWidth="1"/>
    <col min="15616" max="15616" width="11.42578125" style="82" customWidth="1"/>
    <col min="15617" max="15618" width="9.28515625" style="82"/>
    <col min="15619" max="15619" width="11" style="82" customWidth="1"/>
    <col min="15620" max="15863" width="9.28515625" style="82"/>
    <col min="15864" max="15864" width="7.5703125" style="82" customWidth="1"/>
    <col min="15865" max="15865" width="7.28515625" style="82" customWidth="1"/>
    <col min="15866" max="15866" width="9.28515625" style="82"/>
    <col min="15867" max="15867" width="12.28515625" style="82" customWidth="1"/>
    <col min="15868" max="15868" width="12.7109375" style="82" customWidth="1"/>
    <col min="15869" max="15869" width="10.7109375" style="82" customWidth="1"/>
    <col min="15870" max="15871" width="11.5703125" style="82" customWidth="1"/>
    <col min="15872" max="15872" width="11.42578125" style="82" customWidth="1"/>
    <col min="15873" max="15874" width="9.28515625" style="82"/>
    <col min="15875" max="15875" width="11" style="82" customWidth="1"/>
    <col min="15876" max="16119" width="9.28515625" style="82"/>
    <col min="16120" max="16120" width="7.5703125" style="82" customWidth="1"/>
    <col min="16121" max="16121" width="7.28515625" style="82" customWidth="1"/>
    <col min="16122" max="16122" width="9.28515625" style="82"/>
    <col min="16123" max="16123" width="12.28515625" style="82" customWidth="1"/>
    <col min="16124" max="16124" width="12.7109375" style="82" customWidth="1"/>
    <col min="16125" max="16125" width="10.7109375" style="82" customWidth="1"/>
    <col min="16126" max="16127" width="11.5703125" style="82" customWidth="1"/>
    <col min="16128" max="16128" width="11.42578125" style="82" customWidth="1"/>
    <col min="16129" max="16130" width="9.28515625" style="82"/>
    <col min="16131" max="16131" width="11" style="82" customWidth="1"/>
    <col min="16132" max="16384" width="9.28515625" style="82"/>
  </cols>
  <sheetData>
    <row r="1" spans="1:14" ht="25.5" thickBot="1">
      <c r="A1" s="1726" t="s">
        <v>368</v>
      </c>
      <c r="B1" s="1726"/>
      <c r="C1" s="1726"/>
      <c r="D1" s="1726"/>
      <c r="E1" s="1726"/>
      <c r="F1" s="1726"/>
      <c r="G1" s="1726"/>
      <c r="H1" s="1726"/>
      <c r="I1" s="1726"/>
    </row>
    <row r="2" spans="1:14" ht="21.75" customHeight="1">
      <c r="A2" s="1727" t="s">
        <v>369</v>
      </c>
      <c r="B2" s="1729" t="s">
        <v>370</v>
      </c>
      <c r="C2" s="1729"/>
      <c r="D2" s="1730" t="s">
        <v>8</v>
      </c>
      <c r="E2" s="1729" t="s">
        <v>1756</v>
      </c>
      <c r="F2" s="1729"/>
      <c r="G2" s="1729"/>
      <c r="H2" s="1729"/>
      <c r="I2" s="1732" t="s">
        <v>9</v>
      </c>
      <c r="J2"/>
      <c r="K2"/>
      <c r="L2"/>
      <c r="M2"/>
      <c r="N2"/>
    </row>
    <row r="3" spans="1:14" ht="33" customHeight="1" thickBot="1">
      <c r="A3" s="1728"/>
      <c r="B3" s="83" t="s">
        <v>371</v>
      </c>
      <c r="C3" s="83" t="s">
        <v>372</v>
      </c>
      <c r="D3" s="1731"/>
      <c r="E3" s="159" t="s">
        <v>1388</v>
      </c>
      <c r="F3" s="159" t="s">
        <v>1389</v>
      </c>
      <c r="G3" s="159" t="s">
        <v>1390</v>
      </c>
      <c r="H3" s="159" t="s">
        <v>1391</v>
      </c>
      <c r="I3" s="1733"/>
      <c r="J3"/>
      <c r="K3"/>
      <c r="L3"/>
      <c r="M3"/>
      <c r="N3"/>
    </row>
    <row r="4" spans="1:14" ht="24" customHeight="1">
      <c r="A4" s="172" t="s">
        <v>1403</v>
      </c>
      <c r="B4" s="84">
        <v>16</v>
      </c>
      <c r="C4" s="84" t="s">
        <v>377</v>
      </c>
      <c r="D4" s="85" t="s">
        <v>378</v>
      </c>
      <c r="E4" s="86" t="s">
        <v>379</v>
      </c>
      <c r="F4" s="86" t="s">
        <v>379</v>
      </c>
      <c r="G4" s="86" t="s">
        <v>379</v>
      </c>
      <c r="H4" s="87">
        <f>23.92*1.1</f>
        <v>26.312000000000005</v>
      </c>
      <c r="I4" s="1723" t="s">
        <v>1466</v>
      </c>
      <c r="J4"/>
      <c r="K4"/>
      <c r="L4"/>
      <c r="M4"/>
      <c r="N4"/>
    </row>
    <row r="5" spans="1:14" ht="21.75">
      <c r="A5" s="88">
        <v>2</v>
      </c>
      <c r="B5" s="89">
        <v>20</v>
      </c>
      <c r="C5" s="89" t="s">
        <v>380</v>
      </c>
      <c r="D5" s="90" t="s">
        <v>378</v>
      </c>
      <c r="E5" s="91" t="s">
        <v>379</v>
      </c>
      <c r="F5" s="91" t="s">
        <v>379</v>
      </c>
      <c r="G5" s="91" t="s">
        <v>379</v>
      </c>
      <c r="H5" s="92">
        <f>34.84*1.1</f>
        <v>38.324000000000005</v>
      </c>
      <c r="I5" s="1724"/>
      <c r="J5"/>
      <c r="K5"/>
      <c r="L5"/>
      <c r="M5"/>
      <c r="N5"/>
    </row>
    <row r="6" spans="1:14" ht="21.75">
      <c r="A6" s="88">
        <v>3</v>
      </c>
      <c r="B6" s="89">
        <v>25</v>
      </c>
      <c r="C6" s="89" t="s">
        <v>381</v>
      </c>
      <c r="D6" s="90" t="s">
        <v>378</v>
      </c>
      <c r="E6" s="91" t="s">
        <v>379</v>
      </c>
      <c r="F6" s="91" t="s">
        <v>379</v>
      </c>
      <c r="G6" s="91" t="s">
        <v>379</v>
      </c>
      <c r="H6" s="92">
        <f>52.52*1.1</f>
        <v>57.772000000000006</v>
      </c>
      <c r="I6" s="1724"/>
      <c r="J6"/>
      <c r="K6"/>
      <c r="L6"/>
      <c r="M6"/>
      <c r="N6"/>
    </row>
    <row r="7" spans="1:14" ht="21.75">
      <c r="A7" s="88">
        <v>4</v>
      </c>
      <c r="B7" s="89">
        <v>32</v>
      </c>
      <c r="C7" s="89" t="s">
        <v>382</v>
      </c>
      <c r="D7" s="90" t="s">
        <v>378</v>
      </c>
      <c r="E7" s="91" t="s">
        <v>379</v>
      </c>
      <c r="F7" s="91" t="s">
        <v>379</v>
      </c>
      <c r="G7" s="92">
        <f>58.76*1.1</f>
        <v>64.63600000000001</v>
      </c>
      <c r="H7" s="92">
        <f>86.84*1.1</f>
        <v>95.524000000000015</v>
      </c>
      <c r="I7" s="1724"/>
      <c r="J7"/>
      <c r="K7"/>
      <c r="L7"/>
      <c r="M7"/>
      <c r="N7"/>
    </row>
    <row r="8" spans="1:14" ht="21.75">
      <c r="A8" s="88">
        <v>5</v>
      </c>
      <c r="B8" s="89">
        <v>40</v>
      </c>
      <c r="C8" s="89" t="s">
        <v>383</v>
      </c>
      <c r="D8" s="90" t="s">
        <v>378</v>
      </c>
      <c r="E8" s="91" t="s">
        <v>379</v>
      </c>
      <c r="F8" s="92">
        <f>(62.75)*1.1</f>
        <v>69.025000000000006</v>
      </c>
      <c r="G8" s="92">
        <f>87.5*1.1</f>
        <v>96.250000000000014</v>
      </c>
      <c r="H8" s="92">
        <f>128.5*1.1</f>
        <v>141.35000000000002</v>
      </c>
      <c r="I8" s="1724"/>
      <c r="J8"/>
      <c r="K8"/>
      <c r="L8"/>
      <c r="M8"/>
      <c r="N8"/>
    </row>
    <row r="9" spans="1:14" ht="21.75">
      <c r="A9" s="88">
        <v>6</v>
      </c>
      <c r="B9" s="89">
        <v>50</v>
      </c>
      <c r="C9" s="89" t="s">
        <v>384</v>
      </c>
      <c r="D9" s="90" t="s">
        <v>378</v>
      </c>
      <c r="E9" s="91" t="s">
        <v>379</v>
      </c>
      <c r="F9" s="92">
        <f>94.5*1.1</f>
        <v>103.95</v>
      </c>
      <c r="G9" s="92">
        <f>135.5*1.1</f>
        <v>149.05000000000001</v>
      </c>
      <c r="H9" s="92">
        <f>199*1.1</f>
        <v>218.9</v>
      </c>
      <c r="I9" s="1724"/>
      <c r="J9"/>
      <c r="K9"/>
      <c r="L9"/>
      <c r="M9"/>
      <c r="N9"/>
    </row>
    <row r="10" spans="1:14" ht="21.75">
      <c r="A10" s="88">
        <v>7</v>
      </c>
      <c r="B10" s="89">
        <v>63</v>
      </c>
      <c r="C10" s="89" t="s">
        <v>385</v>
      </c>
      <c r="D10" s="90" t="s">
        <v>378</v>
      </c>
      <c r="E10" s="92">
        <f>100.75*1.1</f>
        <v>110.825</v>
      </c>
      <c r="F10" s="92">
        <f>146.25*1.1</f>
        <v>160.875</v>
      </c>
      <c r="G10" s="92">
        <f>212.5*1.1</f>
        <v>233.75000000000003</v>
      </c>
      <c r="H10" s="92">
        <f>317.25*1.1</f>
        <v>348.97500000000002</v>
      </c>
      <c r="I10" s="1724"/>
      <c r="J10"/>
      <c r="K10"/>
      <c r="L10"/>
      <c r="M10"/>
      <c r="N10"/>
    </row>
    <row r="11" spans="1:14" ht="21.75">
      <c r="A11" s="88">
        <v>8</v>
      </c>
      <c r="B11" s="89">
        <v>75</v>
      </c>
      <c r="C11" s="89" t="s">
        <v>386</v>
      </c>
      <c r="D11" s="90" t="s">
        <v>378</v>
      </c>
      <c r="E11" s="92">
        <f>139.25*1.1</f>
        <v>153.17500000000001</v>
      </c>
      <c r="F11" s="92">
        <f>211.5*1.1</f>
        <v>232.65</v>
      </c>
      <c r="G11" s="92">
        <f>297.75*1.1</f>
        <v>327.52500000000003</v>
      </c>
      <c r="H11" s="92">
        <f>445.5*1.1</f>
        <v>490.05</v>
      </c>
      <c r="I11" s="1724"/>
      <c r="J11"/>
      <c r="K11"/>
      <c r="L11"/>
      <c r="M11"/>
      <c r="N11"/>
    </row>
    <row r="12" spans="1:14" ht="21.75">
      <c r="A12" s="88">
        <v>9</v>
      </c>
      <c r="B12" s="89">
        <v>90</v>
      </c>
      <c r="C12" s="89" t="s">
        <v>387</v>
      </c>
      <c r="D12" s="90" t="s">
        <v>378</v>
      </c>
      <c r="E12" s="92">
        <f>199.75*1.1</f>
        <v>219.72500000000002</v>
      </c>
      <c r="F12" s="92">
        <f>305*1.1</f>
        <v>335.5</v>
      </c>
      <c r="G12" s="92">
        <f>429.25*1.1</f>
        <v>472.17500000000001</v>
      </c>
      <c r="H12" s="92">
        <f>642*1.1</f>
        <v>706.2</v>
      </c>
      <c r="I12" s="1724"/>
      <c r="J12"/>
      <c r="K12"/>
      <c r="L12"/>
      <c r="M12"/>
      <c r="N12"/>
    </row>
    <row r="13" spans="1:14" ht="21.75">
      <c r="A13" s="88">
        <v>10</v>
      </c>
      <c r="B13" s="89">
        <v>110</v>
      </c>
      <c r="C13" s="89" t="s">
        <v>388</v>
      </c>
      <c r="D13" s="90" t="s">
        <v>378</v>
      </c>
      <c r="E13" s="92">
        <f>296.25*1.1</f>
        <v>325.875</v>
      </c>
      <c r="F13" s="92">
        <f>425.75*1.1</f>
        <v>468.32500000000005</v>
      </c>
      <c r="G13" s="92">
        <f>636.25*1.1</f>
        <v>699.875</v>
      </c>
      <c r="H13" s="92">
        <f>950.25*1.1</f>
        <v>1045.2750000000001</v>
      </c>
      <c r="I13" s="1724"/>
      <c r="J13"/>
      <c r="K13"/>
      <c r="L13"/>
      <c r="M13"/>
      <c r="N13"/>
    </row>
    <row r="14" spans="1:14" ht="21.75">
      <c r="A14" s="88">
        <v>11</v>
      </c>
      <c r="B14" s="89">
        <v>125</v>
      </c>
      <c r="C14" s="89" t="s">
        <v>389</v>
      </c>
      <c r="D14" s="90" t="s">
        <v>378</v>
      </c>
      <c r="E14" s="92">
        <f>382.5*1.1</f>
        <v>420.75000000000006</v>
      </c>
      <c r="F14" s="92">
        <f>572.25*1.1</f>
        <v>629.47500000000002</v>
      </c>
      <c r="G14" s="92">
        <f>823.25*1.1</f>
        <v>905.57500000000005</v>
      </c>
      <c r="H14" s="92">
        <f>1240.5*1.1</f>
        <v>1364.5500000000002</v>
      </c>
      <c r="I14" s="1724"/>
      <c r="J14"/>
      <c r="K14"/>
      <c r="L14"/>
      <c r="M14"/>
      <c r="N14"/>
    </row>
    <row r="15" spans="1:14" ht="21.75">
      <c r="A15" s="88">
        <v>12</v>
      </c>
      <c r="B15" s="89">
        <v>140</v>
      </c>
      <c r="C15" s="89" t="s">
        <v>390</v>
      </c>
      <c r="D15" s="90" t="s">
        <v>378</v>
      </c>
      <c r="E15" s="92">
        <f>474.25*1.1</f>
        <v>521.67500000000007</v>
      </c>
      <c r="F15" s="92">
        <f>725.25*1.1</f>
        <v>797.77500000000009</v>
      </c>
      <c r="G15" s="92">
        <f>1037.5*1.1</f>
        <v>1141.25</v>
      </c>
      <c r="H15" s="92">
        <f>1552.25*1.1</f>
        <v>1707.4750000000001</v>
      </c>
      <c r="I15" s="1724"/>
      <c r="J15"/>
      <c r="K15"/>
      <c r="L15"/>
      <c r="M15"/>
      <c r="N15"/>
    </row>
    <row r="16" spans="1:14" ht="21.75">
      <c r="A16" s="88">
        <v>13</v>
      </c>
      <c r="B16" s="89">
        <v>160</v>
      </c>
      <c r="C16" s="89" t="s">
        <v>391</v>
      </c>
      <c r="D16" s="90" t="s">
        <v>378</v>
      </c>
      <c r="E16" s="92">
        <f>613.25*1.1</f>
        <v>674.57500000000005</v>
      </c>
      <c r="F16" s="92">
        <f>943.25*1.1</f>
        <v>1037.575</v>
      </c>
      <c r="G16" s="92">
        <f>1338.75*1.1</f>
        <v>1472.6250000000002</v>
      </c>
      <c r="H16" s="92">
        <f>2019.75*1.1</f>
        <v>2221.7250000000004</v>
      </c>
      <c r="I16" s="1724"/>
      <c r="J16"/>
      <c r="K16"/>
      <c r="L16"/>
      <c r="M16"/>
      <c r="N16"/>
    </row>
    <row r="17" spans="1:14" ht="21.75">
      <c r="A17" s="88">
        <v>14</v>
      </c>
      <c r="B17" s="89">
        <v>180</v>
      </c>
      <c r="C17" s="89" t="s">
        <v>392</v>
      </c>
      <c r="D17" s="90" t="s">
        <v>378</v>
      </c>
      <c r="E17" s="92">
        <f>787*1.1</f>
        <v>865.7</v>
      </c>
      <c r="F17" s="92">
        <f>1190.5*1.1</f>
        <v>1309.5500000000002</v>
      </c>
      <c r="G17" s="92">
        <f>1700*1.1</f>
        <v>1870.0000000000002</v>
      </c>
      <c r="H17" s="92">
        <f>2564*1.1</f>
        <v>2820.4</v>
      </c>
      <c r="I17" s="1724"/>
      <c r="J17"/>
      <c r="K17"/>
      <c r="L17"/>
      <c r="M17"/>
      <c r="N17"/>
    </row>
    <row r="18" spans="1:14" ht="21.75">
      <c r="A18" s="88">
        <v>15</v>
      </c>
      <c r="B18" s="93">
        <v>200</v>
      </c>
      <c r="C18" s="89" t="s">
        <v>393</v>
      </c>
      <c r="D18" s="90" t="s">
        <v>378</v>
      </c>
      <c r="E18" s="92">
        <f>968.75*1.1</f>
        <v>1065.625</v>
      </c>
      <c r="F18" s="92">
        <f>1472.5*1.1</f>
        <v>1619.7500000000002</v>
      </c>
      <c r="G18" s="92">
        <f>2097.75*1.1</f>
        <v>2307.5250000000001</v>
      </c>
      <c r="H18" s="92">
        <f>3155*1.1</f>
        <v>3470.5000000000005</v>
      </c>
      <c r="I18" s="1724"/>
      <c r="J18"/>
      <c r="K18"/>
      <c r="L18"/>
      <c r="M18"/>
      <c r="N18"/>
    </row>
    <row r="19" spans="1:14" ht="21.75">
      <c r="A19" s="88">
        <v>16</v>
      </c>
      <c r="B19" s="93">
        <v>225</v>
      </c>
      <c r="C19" s="89" t="s">
        <v>394</v>
      </c>
      <c r="D19" s="90" t="s">
        <v>378</v>
      </c>
      <c r="E19" s="92">
        <f>1205.5*1.1</f>
        <v>1326.0500000000002</v>
      </c>
      <c r="F19" s="92">
        <f>1861.25*1.1</f>
        <v>2047.3750000000002</v>
      </c>
      <c r="G19" s="92">
        <f>2636*1.1</f>
        <v>2899.6000000000004</v>
      </c>
      <c r="H19" s="92">
        <f>4003.5*1.1</f>
        <v>4403.8500000000004</v>
      </c>
      <c r="I19" s="1724"/>
      <c r="J19"/>
      <c r="K19"/>
      <c r="L19"/>
      <c r="M19"/>
      <c r="N19"/>
    </row>
    <row r="20" spans="1:14" ht="21.75">
      <c r="A20" s="88">
        <v>17</v>
      </c>
      <c r="B20" s="93">
        <v>250</v>
      </c>
      <c r="C20" s="89" t="s">
        <v>395</v>
      </c>
      <c r="D20" s="90" t="s">
        <v>378</v>
      </c>
      <c r="E20" s="92">
        <f>1503*1.1</f>
        <v>1653.3000000000002</v>
      </c>
      <c r="F20" s="92">
        <f>2296.75*1.1</f>
        <v>2526.4250000000002</v>
      </c>
      <c r="G20" s="92">
        <f>3260.25*1.1</f>
        <v>3586.2750000000001</v>
      </c>
      <c r="H20" s="92">
        <f>4939.25*1.1</f>
        <v>5433.1750000000002</v>
      </c>
      <c r="I20" s="1724"/>
      <c r="J20"/>
      <c r="K20"/>
      <c r="L20"/>
      <c r="M20"/>
      <c r="N20"/>
    </row>
    <row r="21" spans="1:14" ht="21.75">
      <c r="A21" s="88">
        <v>18</v>
      </c>
      <c r="B21" s="93">
        <v>280</v>
      </c>
      <c r="C21" s="89" t="s">
        <v>396</v>
      </c>
      <c r="D21" s="90" t="s">
        <v>378</v>
      </c>
      <c r="E21" s="92">
        <f>1867.75*1.1</f>
        <v>2054.5250000000001</v>
      </c>
      <c r="F21" s="92">
        <f>2863.75*1.1</f>
        <v>3150.1250000000005</v>
      </c>
      <c r="G21" s="92">
        <f>4081.75*1.1</f>
        <v>4489.9250000000002</v>
      </c>
      <c r="H21" s="92">
        <f>6177*1.1</f>
        <v>6794.7000000000007</v>
      </c>
      <c r="I21" s="1724"/>
      <c r="J21"/>
      <c r="K21"/>
      <c r="L21"/>
      <c r="M21"/>
      <c r="N21"/>
    </row>
    <row r="22" spans="1:14" ht="21.75">
      <c r="A22" s="88">
        <v>19</v>
      </c>
      <c r="B22" s="93">
        <v>315</v>
      </c>
      <c r="C22" s="89" t="s">
        <v>397</v>
      </c>
      <c r="D22" s="90" t="s">
        <v>378</v>
      </c>
      <c r="E22" s="92">
        <f>2448.42*1.1</f>
        <v>2693.2620000000002</v>
      </c>
      <c r="F22" s="92">
        <f>3772.08*1.1</f>
        <v>4149.2880000000005</v>
      </c>
      <c r="G22" s="92">
        <f>5380.44*1.1</f>
        <v>5918.4840000000004</v>
      </c>
      <c r="H22" s="92">
        <f>8101.6*1.1</f>
        <v>8911.76</v>
      </c>
      <c r="I22" s="1724"/>
      <c r="J22"/>
      <c r="K22"/>
      <c r="L22"/>
      <c r="M22"/>
      <c r="N22"/>
    </row>
    <row r="23" spans="1:14" ht="21.75">
      <c r="A23" s="88">
        <v>20</v>
      </c>
      <c r="B23" s="93">
        <v>355</v>
      </c>
      <c r="C23" s="89" t="s">
        <v>398</v>
      </c>
      <c r="D23" s="90" t="s">
        <v>378</v>
      </c>
      <c r="E23" s="92">
        <f>3108.82*1.1</f>
        <v>3419.7020000000007</v>
      </c>
      <c r="F23" s="92">
        <f>4779.32*1.1</f>
        <v>5257.2520000000004</v>
      </c>
      <c r="G23" s="92">
        <f>6823.18*1.1</f>
        <v>7505.4980000000005</v>
      </c>
      <c r="H23" s="91">
        <f>10305.1*1.1</f>
        <v>11335.61</v>
      </c>
      <c r="I23" s="1724"/>
      <c r="J23"/>
      <c r="K23"/>
      <c r="L23"/>
      <c r="M23"/>
      <c r="N23"/>
    </row>
    <row r="24" spans="1:14" ht="22.5" thickBot="1">
      <c r="A24" s="94">
        <v>21</v>
      </c>
      <c r="B24" s="95">
        <v>400</v>
      </c>
      <c r="C24" s="95" t="s">
        <v>399</v>
      </c>
      <c r="D24" s="96" t="s">
        <v>378</v>
      </c>
      <c r="E24" s="97">
        <f>3973.06*1.1</f>
        <v>4370.366</v>
      </c>
      <c r="F24" s="97">
        <f>6068.92*1.1</f>
        <v>6675.8120000000008</v>
      </c>
      <c r="G24" s="97">
        <f>8660.34*1.1</f>
        <v>9526.3740000000016</v>
      </c>
      <c r="H24" s="178">
        <f>13089.44*1.1</f>
        <v>14398.384000000002</v>
      </c>
      <c r="I24" s="1725"/>
      <c r="J24"/>
      <c r="K24"/>
      <c r="L24"/>
      <c r="M24"/>
      <c r="N24"/>
    </row>
    <row r="25" spans="1:14" ht="21">
      <c r="A25" s="98"/>
    </row>
    <row r="26" spans="1:14" ht="21">
      <c r="A26" s="98"/>
    </row>
    <row r="27" spans="1:14" ht="21">
      <c r="A27" s="98"/>
    </row>
    <row r="28" spans="1:14" ht="21">
      <c r="A28" s="98"/>
    </row>
    <row r="29" spans="1:14" ht="21">
      <c r="A29" s="98"/>
    </row>
    <row r="30" spans="1:14" ht="21">
      <c r="A30" s="98"/>
    </row>
    <row r="31" spans="1:14" ht="21">
      <c r="A31" s="98"/>
    </row>
    <row r="32" spans="1:14" ht="21">
      <c r="A32" s="98"/>
    </row>
    <row r="33" spans="1:1" ht="21">
      <c r="A33" s="98"/>
    </row>
    <row r="34" spans="1:1" ht="21">
      <c r="A34" s="98"/>
    </row>
    <row r="35" spans="1:1" ht="21">
      <c r="A35" s="98"/>
    </row>
    <row r="36" spans="1:1" ht="21">
      <c r="A36" s="98"/>
    </row>
    <row r="37" spans="1:1" ht="21">
      <c r="A37" s="98"/>
    </row>
    <row r="38" spans="1:1" ht="21">
      <c r="A38" s="98"/>
    </row>
    <row r="39" spans="1:1" ht="21">
      <c r="A39" s="98"/>
    </row>
    <row r="40" spans="1:1" ht="21">
      <c r="A40" s="98"/>
    </row>
    <row r="41" spans="1:1" ht="21">
      <c r="A41" s="98"/>
    </row>
    <row r="42" spans="1:1" ht="21">
      <c r="A42" s="98"/>
    </row>
    <row r="43" spans="1:1" ht="21">
      <c r="A43" s="98"/>
    </row>
    <row r="44" spans="1:1" ht="21">
      <c r="A44" s="98"/>
    </row>
    <row r="45" spans="1:1" ht="21">
      <c r="A45" s="98"/>
    </row>
    <row r="46" spans="1:1" ht="21">
      <c r="A46" s="98"/>
    </row>
    <row r="47" spans="1:1" ht="21">
      <c r="A47" s="98"/>
    </row>
    <row r="48" spans="1:1" ht="21">
      <c r="A48" s="98"/>
    </row>
    <row r="49" spans="1:1" ht="21">
      <c r="A49" s="98"/>
    </row>
    <row r="50" spans="1:1" ht="21">
      <c r="A50" s="98"/>
    </row>
    <row r="51" spans="1:1" ht="21">
      <c r="A51" s="98"/>
    </row>
    <row r="52" spans="1:1" ht="21">
      <c r="A52" s="98"/>
    </row>
    <row r="53" spans="1:1" ht="21">
      <c r="A53" s="98"/>
    </row>
    <row r="54" spans="1:1" ht="21">
      <c r="A54" s="98"/>
    </row>
    <row r="55" spans="1:1" ht="21">
      <c r="A55" s="98"/>
    </row>
    <row r="56" spans="1:1" ht="21">
      <c r="A56" s="98"/>
    </row>
    <row r="57" spans="1:1" ht="21">
      <c r="A57" s="98"/>
    </row>
    <row r="58" spans="1:1" ht="21">
      <c r="A58" s="98"/>
    </row>
    <row r="59" spans="1:1" ht="21">
      <c r="A59" s="98"/>
    </row>
    <row r="60" spans="1:1" ht="21">
      <c r="A60" s="98"/>
    </row>
    <row r="61" spans="1:1" ht="21">
      <c r="A61" s="98"/>
    </row>
    <row r="62" spans="1:1" ht="21">
      <c r="A62" s="98"/>
    </row>
    <row r="63" spans="1:1" ht="21">
      <c r="A63" s="98"/>
    </row>
    <row r="64" spans="1:1" ht="21">
      <c r="A64" s="98"/>
    </row>
    <row r="65" spans="1:1" ht="21">
      <c r="A65" s="98"/>
    </row>
    <row r="66" spans="1:1" ht="21">
      <c r="A66" s="98"/>
    </row>
    <row r="67" spans="1:1" ht="21">
      <c r="A67" s="98"/>
    </row>
    <row r="68" spans="1:1" ht="21">
      <c r="A68" s="98"/>
    </row>
    <row r="69" spans="1:1" ht="21">
      <c r="A69" s="98"/>
    </row>
    <row r="70" spans="1:1" ht="21">
      <c r="A70" s="98"/>
    </row>
    <row r="71" spans="1:1" ht="21">
      <c r="A71" s="98"/>
    </row>
    <row r="72" spans="1:1" ht="21">
      <c r="A72" s="98"/>
    </row>
    <row r="73" spans="1:1" ht="21">
      <c r="A73" s="98"/>
    </row>
    <row r="74" spans="1:1" ht="21">
      <c r="A74" s="98"/>
    </row>
    <row r="75" spans="1:1" ht="21">
      <c r="A75" s="98"/>
    </row>
    <row r="76" spans="1:1" ht="21">
      <c r="A76" s="98"/>
    </row>
    <row r="77" spans="1:1" ht="21">
      <c r="A77" s="98"/>
    </row>
    <row r="78" spans="1:1" ht="21">
      <c r="A78" s="98"/>
    </row>
    <row r="79" spans="1:1" ht="21">
      <c r="A79" s="98"/>
    </row>
    <row r="80" spans="1:1" ht="21">
      <c r="A80" s="98"/>
    </row>
    <row r="81" spans="1:1" ht="21">
      <c r="A81" s="98"/>
    </row>
    <row r="82" spans="1:1" ht="21">
      <c r="A82" s="98"/>
    </row>
    <row r="83" spans="1:1" ht="21">
      <c r="A83" s="98"/>
    </row>
    <row r="84" spans="1:1" ht="21">
      <c r="A84" s="98"/>
    </row>
    <row r="85" spans="1:1" ht="21">
      <c r="A85" s="98"/>
    </row>
    <row r="86" spans="1:1" ht="21">
      <c r="A86" s="98"/>
    </row>
    <row r="87" spans="1:1" ht="21">
      <c r="A87" s="98"/>
    </row>
    <row r="88" spans="1:1" ht="21">
      <c r="A88" s="98"/>
    </row>
    <row r="89" spans="1:1" ht="21">
      <c r="A89" s="98"/>
    </row>
    <row r="90" spans="1:1" ht="21">
      <c r="A90" s="98"/>
    </row>
    <row r="91" spans="1:1" ht="21">
      <c r="A91" s="98"/>
    </row>
    <row r="92" spans="1:1" ht="21">
      <c r="A92" s="98"/>
    </row>
    <row r="93" spans="1:1" ht="21">
      <c r="A93" s="98"/>
    </row>
    <row r="94" spans="1:1" ht="21">
      <c r="A94" s="98"/>
    </row>
    <row r="95" spans="1:1" ht="21">
      <c r="A95" s="98"/>
    </row>
    <row r="96" spans="1:1" ht="21">
      <c r="A96" s="98"/>
    </row>
    <row r="97" spans="1:1" ht="21">
      <c r="A97" s="98"/>
    </row>
    <row r="98" spans="1:1" ht="21">
      <c r="A98" s="98"/>
    </row>
    <row r="99" spans="1:1" ht="21">
      <c r="A99" s="98"/>
    </row>
  </sheetData>
  <mergeCells count="7">
    <mergeCell ref="I4:I24"/>
    <mergeCell ref="A1:I1"/>
    <mergeCell ref="A2:A3"/>
    <mergeCell ref="B2:C2"/>
    <mergeCell ref="D2:D3"/>
    <mergeCell ref="E2:H2"/>
    <mergeCell ref="I2:I3"/>
  </mergeCells>
  <pageMargins left="1.24" right="0.19" top="1.03" bottom="0.73" header="0.5" footer="0.56999999999999995"/>
  <pageSetup paperSize="9" scale="87" fitToHeight="0" orientation="portrait" r:id="rId1"/>
  <headerFooter alignWithMargins="0">
    <oddHeader>&amp;Lजिल्ला : नवलपरासी (व.सु.प.)&amp;Rजिल्ला दररेट आ.व.२०८२/०८३</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50</vt:i4>
      </vt:variant>
    </vt:vector>
  </HeadingPairs>
  <TitlesOfParts>
    <vt:vector size="82" baseType="lpstr">
      <vt:lpstr>उपस्थिती</vt:lpstr>
      <vt:lpstr>Cover page</vt:lpstr>
      <vt:lpstr>निर्णयहरु</vt:lpstr>
      <vt:lpstr>Index </vt:lpstr>
      <vt:lpstr>Jyala Dar Final</vt:lpstr>
      <vt:lpstr>Dhuwani_Machine_Upakaran Final</vt:lpstr>
      <vt:lpstr>Bhawan</vt:lpstr>
      <vt:lpstr>Falamjanya</vt:lpstr>
      <vt:lpstr>Sadak</vt:lpstr>
      <vt:lpstr>Rang rogan</vt:lpstr>
      <vt:lpstr>Khanepani</vt:lpstr>
      <vt:lpstr>HDPE</vt:lpstr>
      <vt:lpstr>uPVC</vt:lpstr>
      <vt:lpstr>cpvc</vt:lpstr>
      <vt:lpstr>PPR fittings</vt:lpstr>
      <vt:lpstr>uPVC Fittings</vt:lpstr>
      <vt:lpstr>Khanepani fittings</vt:lpstr>
      <vt:lpstr>Wat,Sant_3</vt:lpstr>
      <vt:lpstr>Well tubewall</vt:lpstr>
      <vt:lpstr>Haate Aujar haru</vt:lpstr>
      <vt:lpstr>Vidut</vt:lpstr>
      <vt:lpstr>Micro hydro</vt:lpstr>
      <vt:lpstr>Vividh</vt:lpstr>
      <vt:lpstr>Official</vt:lpstr>
      <vt:lpstr>Equipment tools rate</vt:lpstr>
      <vt:lpstr>Glass Fiber</vt:lpstr>
      <vt:lpstr>Solar</vt:lpstr>
      <vt:lpstr>concrete Ns </vt:lpstr>
      <vt:lpstr>Sinchai Gate</vt:lpstr>
      <vt:lpstr>Sheet1</vt:lpstr>
      <vt:lpstr>yantric rate</vt:lpstr>
      <vt:lpstr>HDP pipe</vt:lpstr>
      <vt:lpstr>Bhawan!Print_Area</vt:lpstr>
      <vt:lpstr>'concrete Ns '!Print_Area</vt:lpstr>
      <vt:lpstr>'Cover page'!Print_Area</vt:lpstr>
      <vt:lpstr>cpvc!Print_Area</vt:lpstr>
      <vt:lpstr>'Dhuwani_Machine_Upakaran Final'!Print_Area</vt:lpstr>
      <vt:lpstr>'Equipment tools rate'!Print_Area</vt:lpstr>
      <vt:lpstr>Falamjanya!Print_Area</vt:lpstr>
      <vt:lpstr>'Glass Fiber'!Print_Area</vt:lpstr>
      <vt:lpstr>'Haate Aujar haru'!Print_Area</vt:lpstr>
      <vt:lpstr>'HDP pipe'!Print_Area</vt:lpstr>
      <vt:lpstr>HDPE!Print_Area</vt:lpstr>
      <vt:lpstr>'Jyala Dar Final'!Print_Area</vt:lpstr>
      <vt:lpstr>Khanepani!Print_Area</vt:lpstr>
      <vt:lpstr>'Khanepani fittings'!Print_Area</vt:lpstr>
      <vt:lpstr>'Micro hydro'!Print_Area</vt:lpstr>
      <vt:lpstr>Official!Print_Area</vt:lpstr>
      <vt:lpstr>'PPR fittings'!Print_Area</vt:lpstr>
      <vt:lpstr>'Rang rogan'!Print_Area</vt:lpstr>
      <vt:lpstr>Sadak!Print_Area</vt:lpstr>
      <vt:lpstr>'Sinchai Gate'!Print_Area</vt:lpstr>
      <vt:lpstr>Solar!Print_Area</vt:lpstr>
      <vt:lpstr>uPVC!Print_Area</vt:lpstr>
      <vt:lpstr>Vidut!Print_Area</vt:lpstr>
      <vt:lpstr>Vividh!Print_Area</vt:lpstr>
      <vt:lpstr>'Wat,Sant_3'!Print_Area</vt:lpstr>
      <vt:lpstr>'Well tubewall'!Print_Area</vt:lpstr>
      <vt:lpstr>'yantric rate'!Print_Area</vt:lpstr>
      <vt:lpstr>उपस्थिती!Print_Area</vt:lpstr>
      <vt:lpstr>निर्णयहरु!Print_Area</vt:lpstr>
      <vt:lpstr>Bhawan!Print_Titles</vt:lpstr>
      <vt:lpstr>'concrete Ns '!Print_Titles</vt:lpstr>
      <vt:lpstr>cpvc!Print_Titles</vt:lpstr>
      <vt:lpstr>'Dhuwani_Machine_Upakaran Final'!Print_Titles</vt:lpstr>
      <vt:lpstr>'Equipment tools rate'!Print_Titles</vt:lpstr>
      <vt:lpstr>Falamjanya!Print_Titles</vt:lpstr>
      <vt:lpstr>'Haate Aujar haru'!Print_Titles</vt:lpstr>
      <vt:lpstr>'Jyala Dar Final'!Print_Titles</vt:lpstr>
      <vt:lpstr>Khanepani!Print_Titles</vt:lpstr>
      <vt:lpstr>'Khanepani fittings'!Print_Titles</vt:lpstr>
      <vt:lpstr>'Micro hydro'!Print_Titles</vt:lpstr>
      <vt:lpstr>Official!Print_Titles</vt:lpstr>
      <vt:lpstr>'PPR fittings'!Print_Titles</vt:lpstr>
      <vt:lpstr>'Rang rogan'!Print_Titles</vt:lpstr>
      <vt:lpstr>Sadak!Print_Titles</vt:lpstr>
      <vt:lpstr>'Sinchai Gate'!Print_Titles</vt:lpstr>
      <vt:lpstr>'uPVC Fittings'!Print_Titles</vt:lpstr>
      <vt:lpstr>Vidut!Print_Titles</vt:lpstr>
      <vt:lpstr>Vividh!Print_Titles</vt:lpstr>
      <vt:lpstr>'Well tubewall'!Print_Titles</vt:lpstr>
      <vt:lpstr>'yantric rate'!Print_Titles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2026-07-16T06:13:36Z</dcterms:modified>
</cp:coreProperties>
</file>